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codeName="ThisWorkbook" autoCompressPictures="0"/>
  <mc:AlternateContent xmlns:mc="http://schemas.openxmlformats.org/markup-compatibility/2006">
    <mc:Choice Requires="x15">
      <x15ac:absPath xmlns:x15ac="http://schemas.microsoft.com/office/spreadsheetml/2010/11/ac" url="https://krohnegroup-my.sharepoint.com/personal/frronjac_krohne_com/Documents/Deplacement Workfolders/ENV/conflict mineral/2021-11/"/>
    </mc:Choice>
  </mc:AlternateContent>
  <xr:revisionPtr revIDLastSave="258" documentId="8_{BCF7CEF0-AFE4-4B07-91E6-A874E57E86AF}" xr6:coauthVersionLast="47" xr6:coauthVersionMax="47" xr10:uidLastSave="{AD023E50-F206-4CE3-B87D-409F30F013B7}"/>
  <workbookProtection workbookAlgorithmName="SHA-512" workbookHashValue="plh7fvcLCwL5OhvyRMKDImS5P3ciYDcjBWEMmcAEuHdB+4aXWAvXN7I2ckC0FtAirE40vJGTAFdzo+JeJ29NqA==" workbookSaltValue="dC+hdmO340H7nnyO5O1sDw==" workbookSpinCount="100000" lockStructure="1"/>
  <bookViews>
    <workbookView xWindow="20370" yWindow="-1935"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5" i="5" l="1"/>
  <c r="V5" i="5"/>
  <c r="I5" i="5" s="1"/>
  <c r="V7" i="5"/>
  <c r="E7" i="5" s="1"/>
  <c r="X7" i="5" s="1"/>
  <c r="V8" i="5"/>
  <c r="I8" i="5" s="1"/>
  <c r="AB8" i="5"/>
  <c r="V9" i="5"/>
  <c r="AB9" i="5"/>
  <c r="V11" i="5"/>
  <c r="E11" i="5" s="1"/>
  <c r="V12" i="5"/>
  <c r="I12" i="5" s="1"/>
  <c r="AB12" i="5"/>
  <c r="V13" i="5"/>
  <c r="E13" i="5" s="1"/>
  <c r="X13" i="5" s="1"/>
  <c r="AB13" i="5"/>
  <c r="V14" i="5"/>
  <c r="I14" i="5" s="1"/>
  <c r="V15" i="5"/>
  <c r="G16" i="5"/>
  <c r="V16" i="5"/>
  <c r="I16" i="5" s="1"/>
  <c r="V17" i="5"/>
  <c r="E17" i="5" s="1"/>
  <c r="X17" i="5" s="1"/>
  <c r="AB17" i="5"/>
  <c r="V18" i="5"/>
  <c r="G18" i="5" s="1"/>
  <c r="V19" i="5"/>
  <c r="F19" i="5" s="1"/>
  <c r="V20" i="5"/>
  <c r="I20" i="5" s="1"/>
  <c r="V21" i="5"/>
  <c r="E21" i="5" s="1"/>
  <c r="X21" i="5" s="1"/>
  <c r="AB21" i="5"/>
  <c r="V22" i="5"/>
  <c r="R22" i="5" s="1"/>
  <c r="V23" i="5"/>
  <c r="V24" i="5"/>
  <c r="I24" i="5" s="1"/>
  <c r="AB24" i="5"/>
  <c r="V25" i="5"/>
  <c r="I25" i="5" s="1"/>
  <c r="AB25" i="5"/>
  <c r="V26" i="5"/>
  <c r="I26" i="5" s="1"/>
  <c r="V27" i="5"/>
  <c r="E27" i="5" s="1"/>
  <c r="V28" i="5"/>
  <c r="I28" i="5" s="1"/>
  <c r="AB28" i="5"/>
  <c r="V29" i="5"/>
  <c r="G29" i="5" s="1"/>
  <c r="AB29" i="5"/>
  <c r="V31" i="5"/>
  <c r="E31" i="5" s="1"/>
  <c r="V32" i="5"/>
  <c r="F32" i="5" s="1"/>
  <c r="AB32" i="5"/>
  <c r="V33" i="5"/>
  <c r="E33" i="5" s="1"/>
  <c r="X33" i="5" s="1"/>
  <c r="AB33" i="5"/>
  <c r="V34" i="5"/>
  <c r="I34" i="5" s="1"/>
  <c r="AB35" i="5"/>
  <c r="V35" i="5"/>
  <c r="E35" i="5" s="1"/>
  <c r="V36" i="5"/>
  <c r="H36" i="5" s="1"/>
  <c r="AB36" i="5"/>
  <c r="V37" i="5"/>
  <c r="AB37" i="5"/>
  <c r="V38" i="5"/>
  <c r="I38" i="5" s="1"/>
  <c r="V40" i="5"/>
  <c r="E40" i="5" s="1"/>
  <c r="X40" i="5" s="1"/>
  <c r="V41" i="5"/>
  <c r="E41" i="5" s="1"/>
  <c r="X41" i="5" s="1"/>
  <c r="AB41" i="5"/>
  <c r="V42" i="5"/>
  <c r="G42" i="5" s="1"/>
  <c r="V43" i="5"/>
  <c r="J43" i="5" s="1"/>
  <c r="V44" i="5"/>
  <c r="V45" i="5"/>
  <c r="E45" i="5" s="1"/>
  <c r="X45" i="5" s="1"/>
  <c r="V46" i="5"/>
  <c r="G46" i="5" s="1"/>
  <c r="V48" i="5"/>
  <c r="I48" i="5" s="1"/>
  <c r="AB49" i="5"/>
  <c r="V50" i="5"/>
  <c r="G50" i="5" s="1"/>
  <c r="V51" i="5"/>
  <c r="J51" i="5" s="1"/>
  <c r="V52" i="5"/>
  <c r="H52" i="5" s="1"/>
  <c r="V56" i="5"/>
  <c r="H56" i="5" s="1"/>
  <c r="V58" i="5"/>
  <c r="I58" i="5" s="1"/>
  <c r="V59" i="5"/>
  <c r="J59" i="5" s="1"/>
  <c r="V60" i="5"/>
  <c r="AB61" i="5"/>
  <c r="V62" i="5"/>
  <c r="J62" i="5" s="1"/>
  <c r="AB64" i="5"/>
  <c r="V64" i="5"/>
  <c r="V65" i="5"/>
  <c r="R65" i="5" s="1"/>
  <c r="AB65" i="5"/>
  <c r="V66" i="5"/>
  <c r="G66" i="5" s="1"/>
  <c r="AB66" i="5"/>
  <c r="V68" i="5"/>
  <c r="R68" i="5" s="1"/>
  <c r="V69" i="5"/>
  <c r="I69" i="5" s="1"/>
  <c r="AB69" i="5"/>
  <c r="AB71" i="5"/>
  <c r="V71" i="5"/>
  <c r="E71" i="5" s="1"/>
  <c r="V72" i="5"/>
  <c r="F72" i="5" s="1"/>
  <c r="AB72" i="5"/>
  <c r="V73" i="5"/>
  <c r="E73" i="5" s="1"/>
  <c r="V74" i="5"/>
  <c r="E74" i="5" s="1"/>
  <c r="AB74" i="5"/>
  <c r="V76" i="5"/>
  <c r="R76" i="5" s="1"/>
  <c r="AB76" i="5"/>
  <c r="V77" i="5"/>
  <c r="I77" i="5" s="1"/>
  <c r="AB77" i="5"/>
  <c r="AB79" i="5"/>
  <c r="V79" i="5"/>
  <c r="E79" i="5" s="1"/>
  <c r="V80" i="5"/>
  <c r="F80" i="5" s="1"/>
  <c r="AB80" i="5"/>
  <c r="AB81" i="5"/>
  <c r="V81" i="5"/>
  <c r="E81" i="5" s="1"/>
  <c r="AB82" i="5"/>
  <c r="V82" i="5"/>
  <c r="G82" i="5" s="1"/>
  <c r="V83" i="5"/>
  <c r="AB83" i="5"/>
  <c r="V84" i="5"/>
  <c r="V85" i="5"/>
  <c r="F85" i="5" s="1"/>
  <c r="AB85" i="5"/>
  <c r="V86" i="5"/>
  <c r="H86" i="5" s="1"/>
  <c r="AB86" i="5"/>
  <c r="AB88" i="5"/>
  <c r="V88" i="5"/>
  <c r="E88" i="5" s="1"/>
  <c r="V89" i="5"/>
  <c r="AB89" i="5"/>
  <c r="V90" i="5"/>
  <c r="H90" i="5" s="1"/>
  <c r="AB90" i="5"/>
  <c r="V92" i="5"/>
  <c r="V93" i="5"/>
  <c r="F93" i="5" s="1"/>
  <c r="AB93" i="5"/>
  <c r="V94" i="5"/>
  <c r="AB94" i="5"/>
  <c r="V97" i="5"/>
  <c r="F97" i="5" s="1"/>
  <c r="AB97" i="5"/>
  <c r="V98" i="5"/>
  <c r="H98" i="5" s="1"/>
  <c r="AB98" i="5"/>
  <c r="AB100" i="5"/>
  <c r="V100" i="5"/>
  <c r="V101" i="5"/>
  <c r="AB101" i="5"/>
  <c r="V102" i="5"/>
  <c r="H102" i="5" s="1"/>
  <c r="AB102" i="5"/>
  <c r="V104" i="5"/>
  <c r="V105" i="5"/>
  <c r="H105" i="5" s="1"/>
  <c r="AB105" i="5"/>
  <c r="V106" i="5"/>
  <c r="H106" i="5" s="1"/>
  <c r="AB106" i="5"/>
  <c r="V108" i="5"/>
  <c r="E108" i="5" s="1"/>
  <c r="V109" i="5"/>
  <c r="AB109" i="5"/>
  <c r="T59" i="5"/>
  <c r="T43" i="5"/>
  <c r="S21" i="5"/>
  <c r="S79" i="5"/>
  <c r="S88" i="5"/>
  <c r="S81" i="5"/>
  <c r="S108" i="5"/>
  <c r="S71" i="5"/>
  <c r="G105" i="5" l="1"/>
  <c r="F105" i="5"/>
  <c r="F108" i="5"/>
  <c r="J102" i="5"/>
  <c r="I102" i="5"/>
  <c r="J98" i="5"/>
  <c r="G97" i="5"/>
  <c r="I98" i="5"/>
  <c r="H97" i="5"/>
  <c r="J90" i="5"/>
  <c r="I90" i="5"/>
  <c r="I86" i="5"/>
  <c r="H85" i="5"/>
  <c r="G85" i="5"/>
  <c r="G80" i="5"/>
  <c r="H77" i="5"/>
  <c r="F77" i="5"/>
  <c r="E77" i="5"/>
  <c r="X77" i="5" s="1"/>
  <c r="R81" i="5"/>
  <c r="J79" i="5"/>
  <c r="J81" i="5"/>
  <c r="I79" i="5"/>
  <c r="I81" i="5"/>
  <c r="G79" i="5"/>
  <c r="H81" i="5"/>
  <c r="F79" i="5"/>
  <c r="F73" i="5"/>
  <c r="I71" i="5"/>
  <c r="J71" i="5"/>
  <c r="X74" i="5"/>
  <c r="J74" i="5"/>
  <c r="R73" i="5"/>
  <c r="G71" i="5"/>
  <c r="H69" i="5"/>
  <c r="H74" i="5"/>
  <c r="J73" i="5"/>
  <c r="F71" i="5"/>
  <c r="F69" i="5"/>
  <c r="G74" i="5"/>
  <c r="I73" i="5"/>
  <c r="E69" i="5"/>
  <c r="X69" i="5" s="1"/>
  <c r="H73" i="5"/>
  <c r="E66" i="5"/>
  <c r="X66" i="5" s="1"/>
  <c r="I65" i="5"/>
  <c r="G65" i="5"/>
  <c r="H65" i="5"/>
  <c r="J65" i="5"/>
  <c r="R66" i="5"/>
  <c r="J66" i="5"/>
  <c r="H66" i="5"/>
  <c r="G62" i="5"/>
  <c r="H59" i="5"/>
  <c r="J58" i="5"/>
  <c r="F58" i="5"/>
  <c r="R58" i="5"/>
  <c r="J56" i="5"/>
  <c r="G56" i="5"/>
  <c r="I59" i="5"/>
  <c r="G58" i="5"/>
  <c r="F59" i="5"/>
  <c r="I51" i="5"/>
  <c r="H51" i="5"/>
  <c r="F51" i="5"/>
  <c r="R50" i="5"/>
  <c r="J50" i="5"/>
  <c r="F50" i="5"/>
  <c r="J48" i="5"/>
  <c r="H48" i="5"/>
  <c r="G48" i="5"/>
  <c r="F46" i="5"/>
  <c r="H45" i="5"/>
  <c r="I45" i="5"/>
  <c r="J45" i="5"/>
  <c r="R43" i="5"/>
  <c r="I43" i="5"/>
  <c r="F43" i="5"/>
  <c r="H43" i="5"/>
  <c r="R42" i="5"/>
  <c r="J42" i="5"/>
  <c r="F42" i="5"/>
  <c r="H40" i="5"/>
  <c r="G40" i="5"/>
  <c r="F40" i="5"/>
  <c r="R38" i="5"/>
  <c r="J38" i="5"/>
  <c r="F36" i="5"/>
  <c r="G36" i="5"/>
  <c r="E36" i="5"/>
  <c r="I35" i="5"/>
  <c r="R35" i="5"/>
  <c r="F35" i="5"/>
  <c r="J34" i="5"/>
  <c r="R34" i="5"/>
  <c r="G33" i="5"/>
  <c r="J33" i="5"/>
  <c r="R32" i="5"/>
  <c r="G32" i="5"/>
  <c r="E32" i="5"/>
  <c r="X32" i="5" s="1"/>
  <c r="I31" i="5"/>
  <c r="F31" i="5"/>
  <c r="G31" i="5"/>
  <c r="J29" i="5"/>
  <c r="E29" i="5"/>
  <c r="I29" i="5"/>
  <c r="G28" i="5"/>
  <c r="H28" i="5"/>
  <c r="R28" i="5"/>
  <c r="E28" i="5"/>
  <c r="G27" i="5"/>
  <c r="I27" i="5"/>
  <c r="R27" i="5"/>
  <c r="R26" i="5"/>
  <c r="G25" i="5"/>
  <c r="J25" i="5"/>
  <c r="E25" i="5"/>
  <c r="E24" i="5"/>
  <c r="X24" i="5" s="1"/>
  <c r="R24" i="5"/>
  <c r="H24" i="5"/>
  <c r="G24" i="5"/>
  <c r="G23" i="5"/>
  <c r="I22" i="5"/>
  <c r="E20" i="5"/>
  <c r="X20" i="5" s="1"/>
  <c r="R20" i="5"/>
  <c r="H20" i="5"/>
  <c r="G20" i="5"/>
  <c r="E19" i="5"/>
  <c r="X19" i="5" s="1"/>
  <c r="I19" i="5"/>
  <c r="I18" i="5"/>
  <c r="J17" i="5"/>
  <c r="I17" i="5"/>
  <c r="G17" i="5"/>
  <c r="E16" i="5"/>
  <c r="R16" i="5"/>
  <c r="H16" i="5"/>
  <c r="R14" i="5"/>
  <c r="G13" i="5"/>
  <c r="R12" i="5"/>
  <c r="H12" i="5"/>
  <c r="G12" i="5"/>
  <c r="E12" i="5"/>
  <c r="G11" i="5"/>
  <c r="R11" i="5"/>
  <c r="F11" i="5"/>
  <c r="H8" i="5"/>
  <c r="G8" i="5"/>
  <c r="E8" i="5"/>
  <c r="R8" i="5"/>
  <c r="R7" i="5"/>
  <c r="G5" i="5"/>
  <c r="I104" i="5"/>
  <c r="H104" i="5"/>
  <c r="J104" i="5"/>
  <c r="R104" i="5"/>
  <c r="F104" i="5"/>
  <c r="E104" i="5"/>
  <c r="E84" i="5"/>
  <c r="X84" i="5" s="1"/>
  <c r="F84" i="5"/>
  <c r="H84" i="5"/>
  <c r="I84" i="5"/>
  <c r="J84" i="5"/>
  <c r="R84" i="5"/>
  <c r="H92" i="5"/>
  <c r="I92" i="5"/>
  <c r="J92" i="5"/>
  <c r="R92" i="5"/>
  <c r="E92" i="5"/>
  <c r="F92" i="5"/>
  <c r="H100" i="5"/>
  <c r="I100" i="5"/>
  <c r="J100" i="5"/>
  <c r="R100" i="5"/>
  <c r="I89" i="5"/>
  <c r="J89" i="5"/>
  <c r="R89" i="5"/>
  <c r="E89" i="5"/>
  <c r="AB67" i="5"/>
  <c r="V53" i="5"/>
  <c r="G53" i="5" s="1"/>
  <c r="AB53" i="5"/>
  <c r="AB107" i="5"/>
  <c r="V87" i="5"/>
  <c r="G87" i="5" s="1"/>
  <c r="R86" i="5"/>
  <c r="E86" i="5"/>
  <c r="F86" i="5"/>
  <c r="G86" i="5"/>
  <c r="AB75" i="5"/>
  <c r="J68" i="5"/>
  <c r="E68" i="5"/>
  <c r="F68" i="5"/>
  <c r="H68" i="5"/>
  <c r="I68" i="5"/>
  <c r="V47" i="5"/>
  <c r="R83" i="5"/>
  <c r="J83" i="5"/>
  <c r="E83" i="5"/>
  <c r="F83" i="5"/>
  <c r="I101" i="5"/>
  <c r="J101" i="5"/>
  <c r="R101" i="5"/>
  <c r="E101" i="5"/>
  <c r="V99" i="5"/>
  <c r="G99" i="5" s="1"/>
  <c r="R98" i="5"/>
  <c r="E98" i="5"/>
  <c r="F98" i="5"/>
  <c r="G98" i="5"/>
  <c r="H89" i="5"/>
  <c r="F88" i="5"/>
  <c r="AB87" i="5"/>
  <c r="I82" i="5"/>
  <c r="H82" i="5"/>
  <c r="J82" i="5"/>
  <c r="R82" i="5"/>
  <c r="J76" i="5"/>
  <c r="E76" i="5"/>
  <c r="F76" i="5"/>
  <c r="H76" i="5"/>
  <c r="I76" i="5"/>
  <c r="AB23" i="5"/>
  <c r="R21" i="5"/>
  <c r="F21" i="5"/>
  <c r="H21" i="5"/>
  <c r="G21" i="5"/>
  <c r="I21" i="5"/>
  <c r="J21" i="5"/>
  <c r="I109" i="5"/>
  <c r="J109" i="5"/>
  <c r="R109" i="5"/>
  <c r="E109" i="5"/>
  <c r="R94" i="5"/>
  <c r="E94" i="5"/>
  <c r="F94" i="5"/>
  <c r="G94" i="5"/>
  <c r="V107" i="5"/>
  <c r="G107" i="5" s="1"/>
  <c r="AB95" i="5"/>
  <c r="AB92" i="5"/>
  <c r="J72" i="5"/>
  <c r="E72" i="5"/>
  <c r="X72" i="5" s="1"/>
  <c r="H72" i="5"/>
  <c r="I72" i="5"/>
  <c r="R72" i="5"/>
  <c r="H109" i="5"/>
  <c r="AB104" i="5"/>
  <c r="F109" i="5"/>
  <c r="AB99" i="5"/>
  <c r="AB96" i="5"/>
  <c r="I93" i="5"/>
  <c r="J93" i="5"/>
  <c r="R93" i="5"/>
  <c r="E93" i="5"/>
  <c r="G89" i="5"/>
  <c r="AB63" i="5"/>
  <c r="V63" i="5"/>
  <c r="V54" i="5"/>
  <c r="G54" i="5" s="1"/>
  <c r="AB51" i="5"/>
  <c r="R37" i="5"/>
  <c r="F37" i="5"/>
  <c r="E37" i="5"/>
  <c r="G37" i="5"/>
  <c r="H37" i="5"/>
  <c r="I37" i="5"/>
  <c r="J37" i="5"/>
  <c r="H88" i="5"/>
  <c r="I88" i="5"/>
  <c r="J88" i="5"/>
  <c r="R88" i="5"/>
  <c r="R106" i="5"/>
  <c r="E106" i="5"/>
  <c r="F106" i="5"/>
  <c r="G106" i="5"/>
  <c r="AB84" i="5"/>
  <c r="G108" i="5"/>
  <c r="X108" i="5"/>
  <c r="H101" i="5"/>
  <c r="F100" i="5"/>
  <c r="AB108" i="5"/>
  <c r="I105" i="5"/>
  <c r="R105" i="5"/>
  <c r="J105" i="5"/>
  <c r="E105" i="5"/>
  <c r="G101" i="5"/>
  <c r="E100" i="5"/>
  <c r="J94" i="5"/>
  <c r="V91" i="5"/>
  <c r="G91" i="5" s="1"/>
  <c r="R90" i="5"/>
  <c r="E90" i="5"/>
  <c r="F90" i="5"/>
  <c r="G90" i="5"/>
  <c r="F89" i="5"/>
  <c r="G88" i="5"/>
  <c r="X88" i="5"/>
  <c r="I83" i="5"/>
  <c r="E80" i="5"/>
  <c r="H80" i="5"/>
  <c r="I80" i="5"/>
  <c r="J80" i="5"/>
  <c r="R80" i="5"/>
  <c r="AB73" i="5"/>
  <c r="V67" i="5"/>
  <c r="V95" i="5"/>
  <c r="G95" i="5" s="1"/>
  <c r="G84" i="5"/>
  <c r="AB62" i="5"/>
  <c r="R9" i="5"/>
  <c r="E9" i="5"/>
  <c r="F9" i="5"/>
  <c r="H9" i="5"/>
  <c r="G9" i="5"/>
  <c r="I9" i="5"/>
  <c r="J9" i="5"/>
  <c r="G109" i="5"/>
  <c r="J106" i="5"/>
  <c r="V103" i="5"/>
  <c r="G103" i="5" s="1"/>
  <c r="R102" i="5"/>
  <c r="E102" i="5"/>
  <c r="F102" i="5"/>
  <c r="G102" i="5"/>
  <c r="F101" i="5"/>
  <c r="G100" i="5"/>
  <c r="V96" i="5"/>
  <c r="I94" i="5"/>
  <c r="H93" i="5"/>
  <c r="AB91" i="5"/>
  <c r="I85" i="5"/>
  <c r="J85" i="5"/>
  <c r="R85" i="5"/>
  <c r="E85" i="5"/>
  <c r="H83" i="5"/>
  <c r="F82" i="5"/>
  <c r="V78" i="5"/>
  <c r="G78" i="5" s="1"/>
  <c r="V75" i="5"/>
  <c r="G75" i="5" s="1"/>
  <c r="V70" i="5"/>
  <c r="G70" i="5" s="1"/>
  <c r="AB52" i="5"/>
  <c r="G92" i="5"/>
  <c r="G104" i="5"/>
  <c r="I44" i="5"/>
  <c r="F44" i="5"/>
  <c r="G44" i="5"/>
  <c r="H44" i="5"/>
  <c r="J44" i="5"/>
  <c r="R44" i="5"/>
  <c r="E44" i="5"/>
  <c r="X44" i="5" s="1"/>
  <c r="H108" i="5"/>
  <c r="I108" i="5"/>
  <c r="J108" i="5"/>
  <c r="R108" i="5"/>
  <c r="I106" i="5"/>
  <c r="AB103" i="5"/>
  <c r="I97" i="5"/>
  <c r="J97" i="5"/>
  <c r="R97" i="5"/>
  <c r="E97" i="5"/>
  <c r="H94" i="5"/>
  <c r="G93" i="5"/>
  <c r="J86" i="5"/>
  <c r="G83" i="5"/>
  <c r="E82" i="5"/>
  <c r="AB78" i="5"/>
  <c r="G72" i="5"/>
  <c r="AB70" i="5"/>
  <c r="I64" i="5"/>
  <c r="J64" i="5"/>
  <c r="E64" i="5"/>
  <c r="X64" i="5" s="1"/>
  <c r="I60" i="5"/>
  <c r="F60" i="5"/>
  <c r="G60" i="5"/>
  <c r="J60" i="5"/>
  <c r="R60" i="5"/>
  <c r="AB47" i="5"/>
  <c r="R41" i="5"/>
  <c r="F41" i="5"/>
  <c r="G41" i="5"/>
  <c r="H41" i="5"/>
  <c r="I41" i="5"/>
  <c r="J41" i="5"/>
  <c r="G77" i="5"/>
  <c r="G69" i="5"/>
  <c r="AB55" i="5"/>
  <c r="F81" i="5"/>
  <c r="X79" i="5"/>
  <c r="G76" i="5"/>
  <c r="F74" i="5"/>
  <c r="I74" i="5"/>
  <c r="X71" i="5"/>
  <c r="G68" i="5"/>
  <c r="F66" i="5"/>
  <c r="I66" i="5"/>
  <c r="F65" i="5"/>
  <c r="R64" i="5"/>
  <c r="R62" i="5"/>
  <c r="H60" i="5"/>
  <c r="I52" i="5"/>
  <c r="F52" i="5"/>
  <c r="G52" i="5"/>
  <c r="J52" i="5"/>
  <c r="R52" i="5"/>
  <c r="AB22" i="5"/>
  <c r="AB10" i="5"/>
  <c r="H79" i="5"/>
  <c r="R79" i="5"/>
  <c r="R77" i="5"/>
  <c r="H71" i="5"/>
  <c r="R71" i="5"/>
  <c r="R69" i="5"/>
  <c r="AB68" i="5"/>
  <c r="E65" i="5"/>
  <c r="H64" i="5"/>
  <c r="E60" i="5"/>
  <c r="X60" i="5" s="1"/>
  <c r="V57" i="5"/>
  <c r="G57" i="5" s="1"/>
  <c r="V49" i="5"/>
  <c r="G49" i="5" s="1"/>
  <c r="AB44" i="5"/>
  <c r="H15" i="5"/>
  <c r="J15" i="5"/>
  <c r="E15" i="5"/>
  <c r="X15" i="5" s="1"/>
  <c r="F15" i="5"/>
  <c r="I15" i="5"/>
  <c r="R15" i="5"/>
  <c r="G81" i="5"/>
  <c r="X81" i="5"/>
  <c r="J77" i="5"/>
  <c r="J69" i="5"/>
  <c r="G64" i="5"/>
  <c r="AB59" i="5"/>
  <c r="V55" i="5"/>
  <c r="R74" i="5"/>
  <c r="G73" i="5"/>
  <c r="F64" i="5"/>
  <c r="E62" i="5"/>
  <c r="X62" i="5" s="1"/>
  <c r="F62" i="5"/>
  <c r="H62" i="5"/>
  <c r="I62" i="5"/>
  <c r="V61" i="5"/>
  <c r="G61" i="5" s="1"/>
  <c r="AB60" i="5"/>
  <c r="AB57" i="5"/>
  <c r="I56" i="5"/>
  <c r="R56" i="5"/>
  <c r="E56" i="5"/>
  <c r="F56" i="5"/>
  <c r="E52" i="5"/>
  <c r="X52" i="5" s="1"/>
  <c r="E46" i="5"/>
  <c r="H46" i="5"/>
  <c r="I46" i="5"/>
  <c r="J46" i="5"/>
  <c r="R46" i="5"/>
  <c r="V30" i="5"/>
  <c r="AB30" i="5"/>
  <c r="H23" i="5"/>
  <c r="J23" i="5"/>
  <c r="E18" i="5"/>
  <c r="F18" i="5"/>
  <c r="H18" i="5"/>
  <c r="J18" i="5"/>
  <c r="AB11" i="5"/>
  <c r="AB7" i="5"/>
  <c r="X73" i="5"/>
  <c r="E59" i="5"/>
  <c r="X59" i="5" s="1"/>
  <c r="AB56" i="5"/>
  <c r="AB54" i="5"/>
  <c r="E51" i="5"/>
  <c r="X51" i="5" s="1"/>
  <c r="I50" i="5"/>
  <c r="AB48" i="5"/>
  <c r="F48" i="5"/>
  <c r="AB46" i="5"/>
  <c r="G45" i="5"/>
  <c r="AB43" i="5"/>
  <c r="E43" i="5"/>
  <c r="I42" i="5"/>
  <c r="AB40" i="5"/>
  <c r="G34" i="5"/>
  <c r="I33" i="5"/>
  <c r="I32" i="5"/>
  <c r="J32" i="5"/>
  <c r="AB31" i="5"/>
  <c r="R29" i="5"/>
  <c r="F29" i="5"/>
  <c r="H29" i="5"/>
  <c r="F27" i="5"/>
  <c r="G26" i="5"/>
  <c r="AB20" i="5"/>
  <c r="G19" i="5"/>
  <c r="AB18" i="5"/>
  <c r="J13" i="5"/>
  <c r="H11" i="5"/>
  <c r="J11" i="5"/>
  <c r="J5" i="5"/>
  <c r="G59" i="5"/>
  <c r="G51" i="5"/>
  <c r="E48" i="5"/>
  <c r="AB45" i="5"/>
  <c r="G43" i="5"/>
  <c r="G38" i="5"/>
  <c r="I36" i="5"/>
  <c r="J36" i="5"/>
  <c r="G35" i="5"/>
  <c r="X35" i="5"/>
  <c r="E34" i="5"/>
  <c r="X34" i="5" s="1"/>
  <c r="F34" i="5"/>
  <c r="H34" i="5"/>
  <c r="H33" i="5"/>
  <c r="H31" i="5"/>
  <c r="J31" i="5"/>
  <c r="E26" i="5"/>
  <c r="F26" i="5"/>
  <c r="H26" i="5"/>
  <c r="J26" i="5"/>
  <c r="R23" i="5"/>
  <c r="AB19" i="5"/>
  <c r="R17" i="5"/>
  <c r="F17" i="5"/>
  <c r="H17" i="5"/>
  <c r="G14" i="5"/>
  <c r="I13" i="5"/>
  <c r="G7" i="5"/>
  <c r="H7" i="5"/>
  <c r="I7" i="5"/>
  <c r="J7" i="5"/>
  <c r="R45" i="5"/>
  <c r="F45" i="5"/>
  <c r="I40" i="5"/>
  <c r="J40" i="5"/>
  <c r="E38" i="5"/>
  <c r="F38" i="5"/>
  <c r="H38" i="5"/>
  <c r="H35" i="5"/>
  <c r="J35" i="5"/>
  <c r="AB34" i="5"/>
  <c r="AB26" i="5"/>
  <c r="I23" i="5"/>
  <c r="H19" i="5"/>
  <c r="J19" i="5"/>
  <c r="E14" i="5"/>
  <c r="F14" i="5"/>
  <c r="H14" i="5"/>
  <c r="J14" i="5"/>
  <c r="V39" i="5"/>
  <c r="G39" i="5" s="1"/>
  <c r="AB39" i="5"/>
  <c r="AB38" i="5"/>
  <c r="R36" i="5"/>
  <c r="H32" i="5"/>
  <c r="R31" i="5"/>
  <c r="AB27" i="5"/>
  <c r="R25" i="5"/>
  <c r="F25" i="5"/>
  <c r="H25" i="5"/>
  <c r="F23" i="5"/>
  <c r="G22" i="5"/>
  <c r="AB16" i="5"/>
  <c r="G15" i="5"/>
  <c r="AB14" i="5"/>
  <c r="I11" i="5"/>
  <c r="V6" i="5"/>
  <c r="G6" i="5" s="1"/>
  <c r="R5" i="5"/>
  <c r="E5" i="5"/>
  <c r="F5" i="5"/>
  <c r="H5" i="5"/>
  <c r="R59" i="5"/>
  <c r="E58" i="5"/>
  <c r="H58" i="5"/>
  <c r="AB58" i="5"/>
  <c r="R51" i="5"/>
  <c r="E50" i="5"/>
  <c r="H50" i="5"/>
  <c r="AB50" i="5"/>
  <c r="R48" i="5"/>
  <c r="E42" i="5"/>
  <c r="H42" i="5"/>
  <c r="AB42" i="5"/>
  <c r="R40" i="5"/>
  <c r="R33" i="5"/>
  <c r="F33" i="5"/>
  <c r="H27" i="5"/>
  <c r="J27" i="5"/>
  <c r="E23" i="5"/>
  <c r="X23" i="5" s="1"/>
  <c r="E22" i="5"/>
  <c r="X22" i="5" s="1"/>
  <c r="F22" i="5"/>
  <c r="H22" i="5"/>
  <c r="J22" i="5"/>
  <c r="R19" i="5"/>
  <c r="R18" i="5"/>
  <c r="AB15" i="5"/>
  <c r="R13" i="5"/>
  <c r="F13" i="5"/>
  <c r="H13" i="5"/>
  <c r="V10" i="5"/>
  <c r="G10" i="5" s="1"/>
  <c r="F7" i="5"/>
  <c r="AB6" i="5"/>
  <c r="F28" i="5"/>
  <c r="F24" i="5"/>
  <c r="F20" i="5"/>
  <c r="F16" i="5"/>
  <c r="F12" i="5"/>
  <c r="F8" i="5"/>
  <c r="J28" i="5"/>
  <c r="J24" i="5"/>
  <c r="J20" i="5"/>
  <c r="J16" i="5"/>
  <c r="J12" i="5"/>
  <c r="J8" i="5"/>
  <c r="X31" i="5"/>
  <c r="X27" i="5"/>
  <c r="X11" i="5"/>
  <c r="T106" i="5"/>
  <c r="T94" i="5"/>
  <c r="T77" i="5"/>
  <c r="S69" i="5"/>
  <c r="T58" i="5"/>
  <c r="T45" i="5"/>
  <c r="T105" i="5"/>
  <c r="T93" i="5"/>
  <c r="S84" i="5"/>
  <c r="T76" i="5"/>
  <c r="T69" i="5"/>
  <c r="T44" i="5"/>
  <c r="T36" i="5"/>
  <c r="T31" i="5"/>
  <c r="S24" i="5"/>
  <c r="T18" i="5"/>
  <c r="T13" i="5"/>
  <c r="T5" i="5"/>
  <c r="T17" i="5"/>
  <c r="S11" i="5"/>
  <c r="T37" i="5"/>
  <c r="S31" i="5"/>
  <c r="T24" i="5"/>
  <c r="T92" i="5"/>
  <c r="T83" i="5"/>
  <c r="S74" i="5"/>
  <c r="T68" i="5"/>
  <c r="T42" i="5"/>
  <c r="S35" i="5"/>
  <c r="T29" i="5"/>
  <c r="T23" i="5"/>
  <c r="S17" i="5"/>
  <c r="T12" i="5"/>
  <c r="T22" i="5"/>
  <c r="T102" i="5"/>
  <c r="T90" i="5"/>
  <c r="T82" i="5"/>
  <c r="T74" i="5"/>
  <c r="T66" i="5"/>
  <c r="T51" i="5"/>
  <c r="S41" i="5"/>
  <c r="T35" i="5"/>
  <c r="T28" i="5"/>
  <c r="T19" i="5"/>
  <c r="S13" i="5"/>
  <c r="S7" i="5"/>
  <c r="T101" i="5"/>
  <c r="T89" i="5"/>
  <c r="T81" i="5"/>
  <c r="T73" i="5"/>
  <c r="T65" i="5"/>
  <c r="T50" i="5"/>
  <c r="T41" i="5"/>
  <c r="T34" i="5"/>
  <c r="S27" i="5"/>
  <c r="T21" i="5"/>
  <c r="T16" i="5"/>
  <c r="T11" i="5"/>
  <c r="T9" i="5"/>
  <c r="T108" i="5"/>
  <c r="T97" i="5"/>
  <c r="T100" i="5"/>
  <c r="T88" i="5"/>
  <c r="T80" i="5"/>
  <c r="S73" i="5"/>
  <c r="T64" i="5"/>
  <c r="T48" i="5"/>
  <c r="T40" i="5"/>
  <c r="S33" i="5"/>
  <c r="T27" i="5"/>
  <c r="S20" i="5"/>
  <c r="T15" i="5"/>
  <c r="T109" i="5"/>
  <c r="T98" i="5"/>
  <c r="T79" i="5"/>
  <c r="T72" i="5"/>
  <c r="T62" i="5"/>
  <c r="S40" i="5"/>
  <c r="T33" i="5"/>
  <c r="T26" i="5"/>
  <c r="S15" i="5"/>
  <c r="T8" i="5"/>
  <c r="T85" i="5"/>
  <c r="S77" i="5"/>
  <c r="T71" i="5"/>
  <c r="T60" i="5"/>
  <c r="S45" i="5"/>
  <c r="T38" i="5"/>
  <c r="T32" i="5"/>
  <c r="T25" i="5"/>
  <c r="S19" i="5"/>
  <c r="T14" i="5"/>
  <c r="T7" i="5"/>
  <c r="T20" i="5"/>
  <c r="T104" i="5"/>
  <c r="T46" i="5"/>
  <c r="T86" i="5"/>
  <c r="T84" i="5"/>
  <c r="T52" i="5"/>
  <c r="T56" i="5"/>
  <c r="X109" i="5" l="1"/>
  <c r="X102" i="5"/>
  <c r="X105" i="5"/>
  <c r="X106" i="5"/>
  <c r="X104" i="5"/>
  <c r="X101" i="5"/>
  <c r="X100" i="5"/>
  <c r="X98" i="5"/>
  <c r="X97" i="5"/>
  <c r="X94" i="5"/>
  <c r="X93" i="5"/>
  <c r="X92" i="5"/>
  <c r="X90" i="5"/>
  <c r="X89" i="5"/>
  <c r="X85" i="5"/>
  <c r="X86" i="5"/>
  <c r="X80" i="5"/>
  <c r="X82" i="5"/>
  <c r="X83" i="5"/>
  <c r="X76" i="5"/>
  <c r="X68" i="5"/>
  <c r="X65" i="5"/>
  <c r="X58" i="5"/>
  <c r="X56" i="5"/>
  <c r="X50" i="5"/>
  <c r="X48" i="5"/>
  <c r="X46" i="5"/>
  <c r="X43" i="5"/>
  <c r="X42" i="5"/>
  <c r="X38" i="5"/>
  <c r="X37" i="5"/>
  <c r="X36" i="5"/>
  <c r="X29" i="5"/>
  <c r="X28" i="5"/>
  <c r="X26" i="5"/>
  <c r="X25" i="5"/>
  <c r="X18" i="5"/>
  <c r="X16" i="5"/>
  <c r="X14" i="5"/>
  <c r="X12" i="5"/>
  <c r="X9" i="5"/>
  <c r="X8" i="5"/>
  <c r="X5" i="5"/>
  <c r="E30" i="5"/>
  <c r="F30" i="5"/>
  <c r="H30" i="5"/>
  <c r="J30" i="5"/>
  <c r="I30" i="5"/>
  <c r="R30" i="5"/>
  <c r="E95" i="5"/>
  <c r="F95" i="5"/>
  <c r="H95" i="5"/>
  <c r="I95" i="5"/>
  <c r="J95" i="5"/>
  <c r="R95" i="5"/>
  <c r="H63" i="5"/>
  <c r="J63" i="5"/>
  <c r="R63" i="5"/>
  <c r="E63" i="5"/>
  <c r="F63" i="5"/>
  <c r="I63" i="5"/>
  <c r="G30" i="5"/>
  <c r="E10" i="5"/>
  <c r="F10" i="5"/>
  <c r="H10" i="5"/>
  <c r="J10" i="5"/>
  <c r="I10" i="5"/>
  <c r="R10" i="5"/>
  <c r="J55" i="5"/>
  <c r="E55" i="5"/>
  <c r="F55" i="5"/>
  <c r="I55" i="5"/>
  <c r="R55" i="5"/>
  <c r="H55" i="5"/>
  <c r="R53" i="5"/>
  <c r="F53" i="5"/>
  <c r="E53" i="5"/>
  <c r="I53" i="5"/>
  <c r="J53" i="5"/>
  <c r="H53" i="5"/>
  <c r="E54" i="5"/>
  <c r="H54" i="5"/>
  <c r="I54" i="5"/>
  <c r="J54" i="5"/>
  <c r="R54" i="5"/>
  <c r="F54" i="5"/>
  <c r="H67" i="5"/>
  <c r="R67" i="5"/>
  <c r="F67" i="5"/>
  <c r="I67" i="5"/>
  <c r="J67" i="5"/>
  <c r="E67" i="5"/>
  <c r="H39" i="5"/>
  <c r="J39" i="5"/>
  <c r="E39" i="5"/>
  <c r="F39" i="5"/>
  <c r="I39" i="5"/>
  <c r="R39" i="5"/>
  <c r="R49" i="5"/>
  <c r="F49" i="5"/>
  <c r="H49" i="5"/>
  <c r="I49" i="5"/>
  <c r="J49" i="5"/>
  <c r="E49" i="5"/>
  <c r="E99" i="5"/>
  <c r="F99" i="5"/>
  <c r="H99" i="5"/>
  <c r="I99" i="5"/>
  <c r="J99" i="5"/>
  <c r="R99" i="5"/>
  <c r="G67" i="5"/>
  <c r="F61" i="5"/>
  <c r="R61" i="5"/>
  <c r="E61" i="5"/>
  <c r="H61" i="5"/>
  <c r="I61" i="5"/>
  <c r="J61" i="5"/>
  <c r="F78" i="5"/>
  <c r="I78" i="5"/>
  <c r="E78" i="5"/>
  <c r="H78" i="5"/>
  <c r="J78" i="5"/>
  <c r="R78" i="5"/>
  <c r="H96" i="5"/>
  <c r="I96" i="5"/>
  <c r="J96" i="5"/>
  <c r="R96" i="5"/>
  <c r="E96" i="5"/>
  <c r="F96" i="5"/>
  <c r="E91" i="5"/>
  <c r="F91" i="5"/>
  <c r="H91" i="5"/>
  <c r="I91" i="5"/>
  <c r="J91" i="5"/>
  <c r="R91" i="5"/>
  <c r="G63" i="5"/>
  <c r="E107" i="5"/>
  <c r="F107" i="5"/>
  <c r="I107" i="5"/>
  <c r="H107" i="5"/>
  <c r="R107" i="5"/>
  <c r="J107" i="5"/>
  <c r="G96" i="5"/>
  <c r="J47" i="5"/>
  <c r="E47" i="5"/>
  <c r="F47" i="5"/>
  <c r="H47" i="5"/>
  <c r="I47" i="5"/>
  <c r="R47" i="5"/>
  <c r="E87" i="5"/>
  <c r="F87" i="5"/>
  <c r="H87" i="5"/>
  <c r="I87" i="5"/>
  <c r="J87" i="5"/>
  <c r="R87" i="5"/>
  <c r="E6" i="5"/>
  <c r="F6" i="5"/>
  <c r="H6" i="5"/>
  <c r="J6" i="5"/>
  <c r="I6" i="5"/>
  <c r="R6" i="5"/>
  <c r="R57" i="5"/>
  <c r="F57" i="5"/>
  <c r="H57" i="5"/>
  <c r="J57" i="5"/>
  <c r="E57" i="5"/>
  <c r="I57" i="5"/>
  <c r="G55" i="5"/>
  <c r="F70" i="5"/>
  <c r="I70" i="5"/>
  <c r="E70" i="5"/>
  <c r="H70" i="5"/>
  <c r="J70" i="5"/>
  <c r="R70" i="5"/>
  <c r="H75" i="5"/>
  <c r="R75" i="5"/>
  <c r="F75" i="5"/>
  <c r="I75" i="5"/>
  <c r="J75" i="5"/>
  <c r="E75" i="5"/>
  <c r="E103" i="5"/>
  <c r="F103" i="5"/>
  <c r="H103" i="5"/>
  <c r="I103" i="5"/>
  <c r="J103" i="5"/>
  <c r="R103" i="5"/>
  <c r="G47" i="5"/>
  <c r="T103" i="5"/>
  <c r="T95" i="5"/>
  <c r="S86" i="5"/>
  <c r="S72" i="5"/>
  <c r="S62" i="5"/>
  <c r="T54" i="5"/>
  <c r="S46" i="5"/>
  <c r="S34" i="5"/>
  <c r="S22" i="5"/>
  <c r="S42" i="5"/>
  <c r="S14" i="5"/>
  <c r="S102" i="5"/>
  <c r="S94" i="5"/>
  <c r="S85" i="5"/>
  <c r="T70" i="5"/>
  <c r="T61" i="5"/>
  <c r="S44" i="5"/>
  <c r="S32" i="5"/>
  <c r="S18" i="5"/>
  <c r="S76" i="5"/>
  <c r="S101" i="5"/>
  <c r="S93" i="5"/>
  <c r="S83" i="5"/>
  <c r="S68" i="5"/>
  <c r="S60" i="5"/>
  <c r="S52" i="5"/>
  <c r="S43" i="5"/>
  <c r="T30" i="5"/>
  <c r="S16" i="5"/>
  <c r="S12" i="5"/>
  <c r="S56" i="5"/>
  <c r="S109" i="5"/>
  <c r="S100" i="5"/>
  <c r="S92" i="5"/>
  <c r="S82" i="5"/>
  <c r="T67" i="5"/>
  <c r="S59" i="5"/>
  <c r="S51" i="5"/>
  <c r="S29" i="5"/>
  <c r="S9" i="5"/>
  <c r="T107" i="5"/>
  <c r="T99" i="5"/>
  <c r="T91" i="5"/>
  <c r="S80" i="5"/>
  <c r="S66" i="5"/>
  <c r="S58" i="5"/>
  <c r="S50" i="5"/>
  <c r="T39" i="5"/>
  <c r="S28" i="5"/>
  <c r="S106" i="5"/>
  <c r="S98" i="5"/>
  <c r="S90" i="5"/>
  <c r="T78" i="5"/>
  <c r="S65" i="5"/>
  <c r="T57" i="5"/>
  <c r="S38" i="5"/>
  <c r="S26" i="5"/>
  <c r="T10" i="5"/>
  <c r="S105" i="5"/>
  <c r="S97" i="5"/>
  <c r="S48" i="5"/>
  <c r="S25" i="5"/>
  <c r="S104" i="5"/>
  <c r="T96" i="5"/>
  <c r="T87" i="5"/>
  <c r="T75" i="5"/>
  <c r="T63" i="5"/>
  <c r="T55" i="5"/>
  <c r="T47" i="5"/>
  <c r="S36" i="5"/>
  <c r="S23" i="5"/>
  <c r="S8" i="5"/>
  <c r="T6" i="5"/>
  <c r="S5" i="5"/>
  <c r="S89" i="5"/>
  <c r="S64" i="5"/>
  <c r="S37" i="5"/>
  <c r="T49" i="5"/>
  <c r="T53" i="5"/>
  <c r="X103" i="5" l="1"/>
  <c r="X107" i="5"/>
  <c r="X99" i="5"/>
  <c r="X96" i="5"/>
  <c r="X95" i="5"/>
  <c r="X91" i="5"/>
  <c r="X87" i="5"/>
  <c r="X78" i="5"/>
  <c r="X75" i="5"/>
  <c r="X70" i="5"/>
  <c r="X67" i="5"/>
  <c r="X63" i="5"/>
  <c r="X61" i="5"/>
  <c r="X57" i="5"/>
  <c r="X55" i="5"/>
  <c r="X54" i="5"/>
  <c r="X53" i="5"/>
  <c r="X49" i="5"/>
  <c r="X47" i="5"/>
  <c r="X39" i="5"/>
  <c r="X30" i="5"/>
  <c r="X10" i="5"/>
  <c r="X6" i="5"/>
  <c r="S103" i="5"/>
  <c r="S70" i="5"/>
  <c r="S99" i="5"/>
  <c r="S67" i="5"/>
  <c r="S30" i="5"/>
  <c r="S96" i="5"/>
  <c r="S63" i="5"/>
  <c r="S39" i="5"/>
  <c r="S95" i="5"/>
  <c r="S61" i="5"/>
  <c r="S91" i="5"/>
  <c r="S57" i="5"/>
  <c r="S10" i="5"/>
  <c r="S53" i="5"/>
  <c r="S87" i="5"/>
  <c r="S55" i="5"/>
  <c r="S6" i="5"/>
  <c r="S78" i="5"/>
  <c r="S54" i="5"/>
  <c r="S75" i="5"/>
  <c r="S49" i="5"/>
  <c r="S107" i="5"/>
  <c r="S47" i="5"/>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I764" i="5"/>
  <c r="I2158" i="5"/>
  <c r="G242" i="5"/>
  <c r="G291" i="5"/>
  <c r="AB364" i="5"/>
  <c r="R488" i="5"/>
  <c r="G761" i="5"/>
  <c r="H1178" i="5"/>
  <c r="J1218" i="5"/>
  <c r="J1250" i="5"/>
  <c r="AB1312" i="5"/>
  <c r="F2013" i="5"/>
  <c r="V2061" i="5"/>
  <c r="E2061" i="5" s="1"/>
  <c r="X2061" i="5" s="1"/>
  <c r="AB2065" i="5"/>
  <c r="AB2152" i="5"/>
  <c r="H2474" i="5"/>
  <c r="E171" i="5"/>
  <c r="X171" i="5" s="1"/>
  <c r="AB196" i="5"/>
  <c r="G218" i="5"/>
  <c r="I302"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127" i="5"/>
  <c r="R127" i="5"/>
  <c r="J127" i="5"/>
  <c r="I127" i="5"/>
  <c r="E127" i="5"/>
  <c r="X127" i="5" s="1"/>
  <c r="V330" i="5"/>
  <c r="G330" i="5" s="1"/>
  <c r="T895" i="5"/>
  <c r="AB895" i="5"/>
  <c r="S895" i="5"/>
  <c r="AB1863" i="5"/>
  <c r="T1863" i="5"/>
  <c r="S1863" i="5"/>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AB170" i="5"/>
  <c r="E452" i="5"/>
  <c r="X452" i="5" s="1"/>
  <c r="H452" i="5"/>
  <c r="F452" i="5"/>
  <c r="S1497" i="5"/>
  <c r="T1497" i="5"/>
  <c r="I126" i="5"/>
  <c r="H126" i="5"/>
  <c r="E126" i="5"/>
  <c r="H147" i="5"/>
  <c r="I147" i="5"/>
  <c r="F147" i="5"/>
  <c r="V207" i="5"/>
  <c r="G207" i="5" s="1"/>
  <c r="R237" i="5"/>
  <c r="F237" i="5"/>
  <c r="E237" i="5"/>
  <c r="X237" i="5" s="1"/>
  <c r="V262" i="5"/>
  <c r="J262" i="5" s="1"/>
  <c r="AB262" i="5"/>
  <c r="AB298" i="5"/>
  <c r="E451" i="5"/>
  <c r="F451" i="5"/>
  <c r="R453" i="5"/>
  <c r="J453" i="5"/>
  <c r="H453" i="5"/>
  <c r="F453" i="5"/>
  <c r="R125" i="5"/>
  <c r="G125" i="5"/>
  <c r="T1447" i="5"/>
  <c r="AB1447" i="5"/>
  <c r="S1447"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H111" i="5"/>
  <c r="R111" i="5"/>
  <c r="H171" i="5"/>
  <c r="R171" i="5"/>
  <c r="J171" i="5"/>
  <c r="G171" i="5"/>
  <c r="V194" i="5"/>
  <c r="I194" i="5" s="1"/>
  <c r="V314" i="5"/>
  <c r="G314" i="5" s="1"/>
  <c r="E468" i="5"/>
  <c r="X468" i="5" s="1"/>
  <c r="F468" i="5"/>
  <c r="V562" i="5"/>
  <c r="R562" i="5" s="1"/>
  <c r="I1848" i="5"/>
  <c r="H1848" i="5"/>
  <c r="V115" i="5"/>
  <c r="H115" i="5" s="1"/>
  <c r="AB166" i="5"/>
  <c r="I198" i="5"/>
  <c r="E198" i="5"/>
  <c r="H198" i="5"/>
  <c r="V201" i="5"/>
  <c r="R201" i="5" s="1"/>
  <c r="R245" i="5"/>
  <c r="G245" i="5"/>
  <c r="I461" i="5"/>
  <c r="F461" i="5"/>
  <c r="J552" i="5"/>
  <c r="H552" i="5"/>
  <c r="AB178" i="5"/>
  <c r="V215" i="5"/>
  <c r="G215" i="5" s="1"/>
  <c r="R299" i="5"/>
  <c r="J299" i="5"/>
  <c r="E392" i="5"/>
  <c r="X392" i="5" s="1"/>
  <c r="I392" i="5"/>
  <c r="H392" i="5"/>
  <c r="AB110"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G133" i="5"/>
  <c r="R133" i="5"/>
  <c r="F133" i="5"/>
  <c r="F169" i="5"/>
  <c r="R169" i="5"/>
  <c r="G169" i="5"/>
  <c r="E169" i="5"/>
  <c r="X169" i="5" s="1"/>
  <c r="H195" i="5"/>
  <c r="F195" i="5"/>
  <c r="E195" i="5"/>
  <c r="X195" i="5" s="1"/>
  <c r="R195" i="5"/>
  <c r="I195" i="5"/>
  <c r="J195" i="5"/>
  <c r="G195" i="5"/>
  <c r="H139" i="5"/>
  <c r="R139" i="5"/>
  <c r="J139" i="5"/>
  <c r="I139" i="5"/>
  <c r="E139" i="5"/>
  <c r="X139" i="5" s="1"/>
  <c r="F139" i="5"/>
  <c r="E193" i="5"/>
  <c r="X193" i="5" s="1"/>
  <c r="F193" i="5"/>
  <c r="H227" i="5"/>
  <c r="E227" i="5"/>
  <c r="X227" i="5" s="1"/>
  <c r="R227" i="5"/>
  <c r="F227" i="5"/>
  <c r="J227" i="5"/>
  <c r="I227"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H135" i="5"/>
  <c r="F135" i="5"/>
  <c r="R135" i="5"/>
  <c r="J135" i="5"/>
  <c r="I135" i="5"/>
  <c r="G135" i="5"/>
  <c r="E135" i="5"/>
  <c r="X135" i="5" s="1"/>
  <c r="H159" i="5"/>
  <c r="E159" i="5"/>
  <c r="X159" i="5" s="1"/>
  <c r="R159" i="5"/>
  <c r="J159" i="5"/>
  <c r="I159" i="5"/>
  <c r="F159" i="5"/>
  <c r="I373" i="5"/>
  <c r="R373" i="5"/>
  <c r="J373" i="5"/>
  <c r="H373" i="5"/>
  <c r="F373" i="5"/>
  <c r="E373" i="5"/>
  <c r="E129" i="5"/>
  <c r="X129" i="5" s="1"/>
  <c r="F129" i="5"/>
  <c r="H199" i="5"/>
  <c r="R199" i="5"/>
  <c r="J199" i="5"/>
  <c r="I199" i="5"/>
  <c r="F199" i="5"/>
  <c r="G199" i="5"/>
  <c r="E199" i="5"/>
  <c r="X199" i="5" s="1"/>
  <c r="H131" i="5"/>
  <c r="F131" i="5"/>
  <c r="E131" i="5"/>
  <c r="X131" i="5" s="1"/>
  <c r="I131" i="5"/>
  <c r="R131" i="5"/>
  <c r="J131" i="5"/>
  <c r="G131" i="5"/>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F113" i="5"/>
  <c r="E113" i="5"/>
  <c r="X113" i="5" s="1"/>
  <c r="R113" i="5"/>
  <c r="H155" i="5"/>
  <c r="R155" i="5"/>
  <c r="J155" i="5"/>
  <c r="I155" i="5"/>
  <c r="E155" i="5"/>
  <c r="X155" i="5" s="1"/>
  <c r="F155" i="5"/>
  <c r="H203" i="5"/>
  <c r="R203" i="5"/>
  <c r="J203" i="5"/>
  <c r="I203" i="5"/>
  <c r="E203" i="5"/>
  <c r="X203" i="5" s="1"/>
  <c r="F203" i="5"/>
  <c r="R249" i="5"/>
  <c r="E249" i="5"/>
  <c r="F249"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H114" i="5"/>
  <c r="F118" i="5"/>
  <c r="R118" i="5"/>
  <c r="J118"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E117" i="5"/>
  <c r="X117" i="5" s="1"/>
  <c r="J121" i="5"/>
  <c r="I121" i="5"/>
  <c r="H121" i="5"/>
  <c r="AB141" i="5"/>
  <c r="H146" i="5"/>
  <c r="F150" i="5"/>
  <c r="R150" i="5"/>
  <c r="J150" i="5"/>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H118" i="5"/>
  <c r="F122" i="5"/>
  <c r="R122" i="5"/>
  <c r="J122" i="5"/>
  <c r="J125" i="5"/>
  <c r="I125" i="5"/>
  <c r="H125"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C8" i="6" s="1"/>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T262" i="5"/>
  <c r="S150" i="5"/>
  <c r="S491" i="5"/>
  <c r="T373" i="5"/>
  <c r="T337" i="5"/>
  <c r="T437" i="5"/>
  <c r="T349" i="5"/>
  <c r="T433" i="5"/>
  <c r="T179" i="5"/>
  <c r="S511" i="5"/>
  <c r="S147" i="5"/>
  <c r="T158" i="5"/>
  <c r="T193" i="5"/>
  <c r="S193" i="5"/>
  <c r="S203" i="5"/>
  <c r="T182" i="5"/>
  <c r="T165" i="5"/>
  <c r="T213" i="5"/>
  <c r="T384" i="5"/>
  <c r="T123" i="5"/>
  <c r="T250"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26" i="5"/>
  <c r="T138" i="5"/>
  <c r="T171" i="5"/>
  <c r="T205" i="5"/>
  <c r="T121" i="5"/>
  <c r="T150" i="5"/>
  <c r="S123" i="5"/>
  <c r="S177" i="5"/>
  <c r="T186" i="5"/>
  <c r="T226" i="5"/>
  <c r="T327" i="5"/>
  <c r="S361"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T405" i="5"/>
  <c r="S341" i="5"/>
  <c r="T417" i="5"/>
  <c r="T270" i="5"/>
  <c r="T159" i="5"/>
  <c r="S161" i="5"/>
  <c r="S171" i="5"/>
  <c r="T119" i="5"/>
  <c r="T183" i="5"/>
  <c r="T131" i="5"/>
  <c r="T195" i="5"/>
  <c r="T206" i="5"/>
  <c r="T294" i="5"/>
  <c r="T142" i="5"/>
  <c r="S145" i="5"/>
  <c r="T154" i="5"/>
  <c r="T214" i="5"/>
  <c r="T298"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S137" i="5"/>
  <c r="T127" i="5"/>
  <c r="S159" i="5"/>
  <c r="T139" i="5"/>
  <c r="T173" i="5"/>
  <c r="T221" i="5"/>
  <c r="T242" i="5"/>
  <c r="S119" i="5"/>
  <c r="S183" i="5"/>
  <c r="T118" i="5"/>
  <c r="S131" i="5"/>
  <c r="S195" i="5"/>
  <c r="T174" i="5"/>
  <c r="T331" i="5"/>
  <c r="T187" i="5"/>
  <c r="T361"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S127" i="5"/>
  <c r="T161" i="5"/>
  <c r="S129" i="5"/>
  <c r="T141" i="5"/>
  <c r="T371" i="5"/>
  <c r="T185" i="5"/>
  <c r="T133" i="5"/>
  <c r="T197" i="5"/>
  <c r="T278" i="5"/>
  <c r="S408" i="5"/>
  <c r="T143" i="5"/>
  <c r="S197" i="5"/>
  <c r="T155" i="5"/>
  <c r="S187" i="5"/>
  <c r="T282"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178" i="5"/>
  <c r="T129" i="5"/>
  <c r="T323" i="5"/>
  <c r="S143" i="5"/>
  <c r="S175" i="5"/>
  <c r="S15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T162" i="5"/>
  <c r="T246" i="5"/>
  <c r="T307" i="5"/>
  <c r="T145" i="5"/>
  <c r="T177" i="5"/>
  <c r="T157" i="5"/>
  <c r="T122"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10" i="5"/>
  <c r="T389" i="5"/>
  <c r="T397" i="5"/>
  <c r="T449" i="5"/>
  <c r="T254" i="5"/>
  <c r="T114" i="5"/>
  <c r="T147" i="5"/>
  <c r="T218" i="5"/>
  <c r="T238" i="5"/>
  <c r="T170" i="5"/>
  <c r="T203" i="5"/>
  <c r="T210" i="5"/>
  <c r="T274" i="5"/>
  <c r="T153" i="5"/>
  <c r="T351" i="5"/>
  <c r="T222"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319" i="5"/>
  <c r="T468" i="5"/>
  <c r="T261" i="5"/>
  <c r="T202" i="5"/>
  <c r="T499" i="5"/>
  <c r="T428" i="5"/>
  <c r="T380" i="5"/>
  <c r="T456" i="5"/>
  <c r="T357" i="5"/>
  <c r="T311" i="5"/>
  <c r="T258" i="5"/>
  <c r="T352" i="5"/>
  <c r="T416" i="5"/>
  <c r="T432" i="5"/>
  <c r="T484" i="5"/>
  <c r="T266" i="5"/>
  <c r="T344" i="5"/>
  <c r="T146" i="5"/>
  <c r="T117" i="5"/>
  <c r="T404" i="5"/>
  <c r="S111" i="5"/>
  <c r="T111" i="5"/>
  <c r="T110" i="5"/>
  <c r="T113" i="5"/>
  <c r="S113" i="5"/>
  <c r="C4" i="6" l="1"/>
  <c r="C11" i="6"/>
  <c r="C10" i="6"/>
  <c r="C9"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504" i="5"/>
  <c r="X503" i="5"/>
  <c r="X338" i="5"/>
  <c r="X121" i="5"/>
  <c r="X323" i="5"/>
  <c r="X360" i="5"/>
  <c r="X483" i="5"/>
  <c r="X326" i="5"/>
  <c r="X310" i="5"/>
  <c r="X146" i="5"/>
  <c r="X488" i="5"/>
  <c r="X514" i="5"/>
  <c r="X498" i="5"/>
  <c r="X482" i="5"/>
  <c r="X558" i="5"/>
  <c r="X555" i="5"/>
  <c r="X535" i="5"/>
  <c r="X230" i="5"/>
  <c r="X149" i="5"/>
  <c r="X530" i="5"/>
  <c r="X387" i="5"/>
  <c r="X122" i="5"/>
  <c r="X546" i="5"/>
  <c r="X559" i="5"/>
  <c r="S532" i="5"/>
  <c r="X336" i="5"/>
  <c r="X356" i="5"/>
  <c r="S356" i="5"/>
  <c r="X318" i="5"/>
  <c r="X154" i="5"/>
  <c r="X214" i="5"/>
  <c r="X233" i="5"/>
  <c r="X329" i="5"/>
  <c r="X241" i="5"/>
  <c r="X301" i="5"/>
  <c r="X198" i="5"/>
  <c r="X134" i="5"/>
  <c r="X234" i="5"/>
  <c r="X174" i="5"/>
  <c r="X353" i="5"/>
  <c r="S343" i="5"/>
  <c r="X158" i="5"/>
  <c r="X331" i="5"/>
  <c r="X246" i="5"/>
  <c r="X114" i="5"/>
  <c r="X333" i="5"/>
  <c r="X451" i="5"/>
  <c r="X335" i="5"/>
  <c r="X282" i="5"/>
  <c r="X206" i="5"/>
  <c r="X162" i="5"/>
  <c r="X325" i="5"/>
  <c r="X138" i="5"/>
  <c r="X142" i="5"/>
  <c r="X126" i="5"/>
  <c r="X217" i="5"/>
  <c r="X278" i="5"/>
  <c r="X182" i="5"/>
  <c r="X218" i="5"/>
  <c r="X202" i="5"/>
  <c r="X369" i="5"/>
  <c r="X315" i="5"/>
  <c r="S315" i="5"/>
  <c r="X327" i="5"/>
  <c r="X118" i="5"/>
  <c r="X311" i="5"/>
  <c r="X253" i="5"/>
  <c r="X317" i="5"/>
  <c r="X373" i="5"/>
  <c r="X357" i="5"/>
  <c r="S357" i="5"/>
  <c r="X130" i="5"/>
  <c r="X383" i="5"/>
  <c r="S383" i="5"/>
  <c r="X313"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R746" i="5"/>
  <c r="F262" i="5"/>
  <c r="F767" i="5"/>
  <c r="H746" i="5"/>
  <c r="E562" i="5"/>
  <c r="H262" i="5"/>
  <c r="H2325" i="5"/>
  <c r="R1329" i="5"/>
  <c r="E574" i="5"/>
  <c r="H562" i="5"/>
  <c r="F463" i="5"/>
  <c r="G1204" i="5"/>
  <c r="R1204" i="5"/>
  <c r="H574" i="5"/>
  <c r="I562" i="5"/>
  <c r="G262" i="5"/>
  <c r="F1665" i="5"/>
  <c r="J1204" i="5"/>
  <c r="G766" i="5"/>
  <c r="I574" i="5"/>
  <c r="J562" i="5"/>
  <c r="J297" i="5"/>
  <c r="I262" i="5"/>
  <c r="J872" i="5"/>
  <c r="F562"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J1842" i="5"/>
  <c r="H1696" i="5"/>
  <c r="E1317" i="5"/>
  <c r="X1317" i="5" s="1"/>
  <c r="J1086" i="5"/>
  <c r="I524" i="5"/>
  <c r="R439" i="5"/>
  <c r="I293" i="5"/>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I391" i="5"/>
  <c r="F391" i="5"/>
  <c r="G191" i="5"/>
  <c r="F915" i="5"/>
  <c r="H712" i="5"/>
  <c r="H427" i="5"/>
  <c r="H194" i="5"/>
  <c r="I2213" i="5"/>
  <c r="R2213" i="5"/>
  <c r="J2213" i="5"/>
  <c r="H2213" i="5"/>
  <c r="F2213" i="5"/>
  <c r="J2381" i="5"/>
  <c r="I2381" i="5"/>
  <c r="E2381" i="5"/>
  <c r="X2381" i="5" s="1"/>
  <c r="J1309" i="5"/>
  <c r="I1309" i="5"/>
  <c r="J1325" i="5"/>
  <c r="F1325"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B52" i="6"/>
  <c r="G52" i="6" s="1"/>
  <c r="B37" i="6"/>
  <c r="G37" i="6" s="1"/>
  <c r="B42" i="6"/>
  <c r="G42" i="6" s="1"/>
  <c r="B40" i="6"/>
  <c r="G40" i="6" s="1"/>
  <c r="B50" i="6"/>
  <c r="G50" i="6" s="1"/>
  <c r="B25" i="6"/>
  <c r="G25" i="6" s="1"/>
  <c r="B35" i="6"/>
  <c r="G35" i="6" s="1"/>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371" i="5"/>
  <c r="S114" i="5"/>
  <c r="S351" i="5"/>
  <c r="S231" i="5"/>
  <c r="S162" i="5"/>
  <c r="S286" i="5"/>
  <c r="S270" i="5"/>
  <c r="S133" i="5"/>
  <c r="S238" i="5"/>
  <c r="S245" i="5"/>
  <c r="T463" i="5"/>
  <c r="T562" i="5"/>
  <c r="T592" i="5"/>
  <c r="T306" i="5"/>
  <c r="T423" i="5"/>
  <c r="T279" i="5"/>
  <c r="T287" i="5"/>
  <c r="T588" i="5"/>
  <c r="T567" i="5"/>
  <c r="T486" i="5"/>
  <c r="T324" i="5"/>
  <c r="T276" i="5"/>
  <c r="T398" i="5"/>
  <c r="T502" i="5"/>
  <c r="T296" i="5"/>
  <c r="T264" i="5"/>
  <c r="T232" i="5"/>
  <c r="T501" i="5"/>
  <c r="T460" i="5"/>
  <c r="T553" i="5"/>
  <c r="T414" i="5"/>
  <c r="T136" i="5"/>
  <c r="S492" i="5"/>
  <c r="S322" i="5"/>
  <c r="S456" i="5"/>
  <c r="S376" i="5"/>
  <c r="S504" i="5"/>
  <c r="S323" i="5"/>
  <c r="S483" i="5"/>
  <c r="S488" i="5"/>
  <c r="S590" i="5"/>
  <c r="S368" i="5"/>
  <c r="S530" i="5"/>
  <c r="S480" i="5"/>
  <c r="S234" i="5"/>
  <c r="S185" i="5"/>
  <c r="S290" i="5"/>
  <c r="S182" i="5"/>
  <c r="S531"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134" i="5"/>
  <c r="S507" i="5"/>
  <c r="S158" i="5"/>
  <c r="S333" i="5"/>
  <c r="S451" i="5"/>
  <c r="S335" i="5"/>
  <c r="S205" i="5"/>
  <c r="S126" i="5"/>
  <c r="S153" i="5"/>
  <c r="S166" i="5"/>
  <c r="S118" i="5"/>
  <c r="S317"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312" i="5"/>
  <c r="T152" i="5"/>
  <c r="T481" i="5"/>
  <c r="S582" i="5"/>
  <c r="S500" i="5"/>
  <c r="S347" i="5"/>
  <c r="S512" i="5"/>
  <c r="S221" i="5"/>
  <c r="S503" i="5"/>
  <c r="S478" i="5"/>
  <c r="S326" i="5"/>
  <c r="S514" i="5"/>
  <c r="S558" i="5"/>
  <c r="S230" i="5"/>
  <c r="S387" i="5"/>
  <c r="S559" i="5"/>
  <c r="S487" i="5"/>
  <c r="S551" i="5"/>
  <c r="S294" i="5"/>
  <c r="S170" i="5"/>
  <c r="S138" i="5"/>
  <c r="S202" i="5"/>
  <c r="S519" i="5"/>
  <c r="S209" i="5"/>
  <c r="S253" i="5"/>
  <c r="S258" i="5"/>
  <c r="S139" i="5"/>
  <c r="S319" i="5"/>
  <c r="S249" i="5"/>
  <c r="T265" i="5"/>
  <c r="T189" i="5"/>
  <c r="T293" i="5"/>
  <c r="T608" i="5"/>
  <c r="T163" i="5"/>
  <c r="T365" i="5"/>
  <c r="T466" i="5"/>
  <c r="T378" i="5"/>
  <c r="T355" i="5"/>
  <c r="T490" i="5"/>
  <c r="T120" i="5"/>
  <c r="T124" i="5"/>
  <c r="T579" i="5"/>
  <c r="T609" i="5"/>
  <c r="T316" i="5"/>
  <c r="T172" i="5"/>
  <c r="T156" i="5"/>
  <c r="T308" i="5"/>
  <c r="T458" i="5"/>
  <c r="T589" i="5"/>
  <c r="T474" i="5"/>
  <c r="T418" i="5"/>
  <c r="S547" i="5"/>
  <c r="S273" i="5"/>
  <c r="S544" i="5"/>
  <c r="S526" i="5"/>
  <c r="S318" i="5"/>
  <c r="S233" i="5"/>
  <c r="S241" i="5"/>
  <c r="S173" i="5"/>
  <c r="S174" i="5"/>
  <c r="S379" i="5"/>
  <c r="S331" i="5"/>
  <c r="S282" i="5"/>
  <c r="S274" i="5"/>
  <c r="S217" i="5"/>
  <c r="S218" i="5"/>
  <c r="S285" i="5"/>
  <c r="T419" i="5"/>
  <c r="T277" i="5"/>
  <c r="T330" i="5"/>
  <c r="T596" i="5"/>
  <c r="T472" i="5"/>
  <c r="T509" i="5"/>
  <c r="T394" i="5"/>
  <c r="T292" i="5"/>
  <c r="T260" i="5"/>
  <c r="T228" i="5"/>
  <c r="T577" i="5"/>
  <c r="T534" i="5"/>
  <c r="T506" i="5"/>
  <c r="T328" i="5"/>
  <c r="T473" i="5"/>
  <c r="T517" i="5"/>
  <c r="T585" i="5"/>
  <c r="T346" i="5"/>
  <c r="T386" i="5"/>
  <c r="T367" i="5"/>
  <c r="T280" i="5"/>
  <c r="T248" i="5"/>
  <c r="T489" i="5"/>
  <c r="T554" i="5"/>
  <c r="T148" i="5"/>
  <c r="T446" i="5"/>
  <c r="S266" i="5"/>
  <c r="S540" i="5"/>
  <c r="S520" i="5"/>
  <c r="S186" i="5"/>
  <c r="S550" i="5"/>
  <c r="S165" i="5"/>
  <c r="S338" i="5"/>
  <c r="S536" i="5"/>
  <c r="S310" i="5"/>
  <c r="S498" i="5"/>
  <c r="S122" i="5"/>
  <c r="S484" i="5"/>
  <c r="S471" i="5"/>
  <c r="S298" i="5"/>
  <c r="S142" i="5"/>
  <c r="S515" i="5"/>
  <c r="S289" i="5"/>
  <c r="S181" i="5"/>
  <c r="S313" i="5"/>
  <c r="S242" i="5"/>
  <c r="S307" i="5"/>
  <c r="T239" i="5"/>
  <c r="T305" i="5"/>
  <c r="T595" i="5"/>
  <c r="T116" i="5"/>
  <c r="T591" i="5"/>
  <c r="T522" i="5"/>
  <c r="T184" i="5"/>
  <c r="T216" i="5"/>
  <c r="T477" i="5"/>
  <c r="T342" i="5"/>
  <c r="T359" i="5"/>
  <c r="T144" i="5"/>
  <c r="T557" i="5"/>
  <c r="T581" i="5"/>
  <c r="T200" i="5"/>
  <c r="T497" i="5"/>
  <c r="T587" i="5"/>
  <c r="T454" i="5"/>
  <c r="T164" i="5"/>
  <c r="T168" i="5"/>
  <c r="T593" i="5"/>
  <c r="S337" i="5"/>
  <c r="S555" i="5"/>
  <c r="S570" i="5"/>
  <c r="S154" i="5"/>
  <c r="S301" i="5"/>
  <c r="S246" i="5"/>
  <c r="S254" i="5"/>
  <c r="S206" i="5"/>
  <c r="S325" i="5"/>
  <c r="S527" i="5"/>
  <c r="S369" i="5"/>
  <c r="S381" i="5"/>
  <c r="S309" i="5"/>
  <c r="T215" i="5"/>
  <c r="T391" i="5"/>
  <c r="T207" i="5"/>
  <c r="T407" i="5"/>
  <c r="T427" i="5"/>
  <c r="T191" i="5"/>
  <c r="T576" i="5"/>
  <c r="T251" i="5"/>
  <c r="T334" i="5"/>
  <c r="T524" i="5"/>
  <c r="T541" i="5"/>
  <c r="T340" i="5"/>
  <c r="T374" i="5"/>
  <c r="T300" i="5"/>
  <c r="T268" i="5"/>
  <c r="T236" i="5"/>
  <c r="T538" i="5"/>
  <c r="T545" i="5"/>
  <c r="T390" i="5"/>
  <c r="T288" i="5"/>
  <c r="T256" i="5"/>
  <c r="T224" i="5"/>
  <c r="T375" i="5"/>
  <c r="T513" i="5"/>
  <c r="T354" i="5"/>
  <c r="T188" i="5"/>
  <c r="T573" i="5"/>
  <c r="T212" i="5"/>
  <c r="T320" i="5"/>
  <c r="T112" i="5"/>
  <c r="S110" i="5"/>
  <c r="X589" i="5" l="1"/>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281" i="5"/>
  <c r="X524" i="5"/>
  <c r="X496"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228" i="5"/>
  <c r="X260" i="5"/>
  <c r="X292" i="5"/>
  <c r="X374" i="5"/>
  <c r="X394" i="5"/>
  <c r="X605" i="5"/>
  <c r="S605" i="5"/>
  <c r="X279" i="5"/>
  <c r="X163" i="5"/>
  <c r="X443"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215" i="5"/>
  <c r="X580" i="5"/>
  <c r="X201" i="5"/>
  <c r="X556" i="5"/>
  <c r="X314" i="5"/>
  <c r="S314" i="5"/>
  <c r="X463" i="5"/>
  <c r="X136" i="5"/>
  <c r="X474" i="5"/>
  <c r="X593" i="5"/>
  <c r="X414" i="5"/>
  <c r="X160" i="5"/>
  <c r="X460" i="5"/>
  <c r="X196" i="5"/>
  <c r="X240" i="5"/>
  <c r="X272" i="5"/>
  <c r="X585" i="5"/>
  <c r="X120" i="5"/>
  <c r="X252" i="5"/>
  <c r="X284" i="5"/>
  <c r="X583" i="5"/>
  <c r="X419" i="5"/>
  <c r="X261" i="5"/>
  <c r="X415" i="5"/>
  <c r="X293" i="5"/>
  <c r="X239" i="5"/>
  <c r="X608" i="5"/>
  <c r="X265" i="5"/>
  <c r="X574" i="5"/>
  <c r="H39" i="6"/>
  <c r="D39" i="6" s="1"/>
  <c r="H26" i="6"/>
  <c r="C26" i="6" s="1"/>
  <c r="H24" i="6"/>
  <c r="C24" i="6" s="1"/>
  <c r="H35" i="6"/>
  <c r="D35" i="6" s="1"/>
  <c r="H40" i="6"/>
  <c r="D40" i="6" s="1"/>
  <c r="H46" i="6"/>
  <c r="D46" i="6" s="1"/>
  <c r="H31" i="6"/>
  <c r="C31" i="6" s="1"/>
  <c r="C29" i="6"/>
  <c r="D29" i="6"/>
  <c r="H30" i="6"/>
  <c r="F69" i="6"/>
  <c r="C69" i="6" s="1"/>
  <c r="H49" i="6"/>
  <c r="D49" i="6" s="1"/>
  <c r="H34" i="6"/>
  <c r="H32" i="6"/>
  <c r="C45" i="6"/>
  <c r="C51" i="6"/>
  <c r="D19" i="6"/>
  <c r="C19" i="6"/>
  <c r="K65" i="6"/>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156" i="5"/>
  <c r="S124" i="5"/>
  <c r="S260" i="5"/>
  <c r="S554" i="5"/>
  <c r="S509" i="5"/>
  <c r="S201" i="5"/>
  <c r="S522" i="5"/>
  <c r="S281" i="5"/>
  <c r="S565" i="5"/>
  <c r="S328" i="5"/>
  <c r="S447" i="5"/>
  <c r="S481" i="5"/>
  <c r="S200" i="5"/>
  <c r="S367" i="5"/>
  <c r="S268" i="5"/>
  <c r="S592" i="5"/>
  <c r="S438" i="5"/>
  <c r="S545" i="5"/>
  <c r="S391" i="5"/>
  <c r="S450" i="5"/>
  <c r="S184" i="5"/>
  <c r="S189" i="5"/>
  <c r="S442" i="5"/>
  <c r="S136"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446" i="5"/>
  <c r="S224" i="5"/>
  <c r="S537" i="5"/>
  <c r="S300" i="5"/>
  <c r="S207" i="5"/>
  <c r="S485" i="5"/>
  <c r="S541" i="5"/>
  <c r="S573" i="5"/>
  <c r="S248" i="5"/>
  <c r="S374" i="5"/>
  <c r="S128" i="5"/>
  <c r="S426" i="5"/>
  <c r="S501" i="5"/>
  <c r="S132"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63" i="5"/>
  <c r="S172" i="5"/>
  <c r="S211" i="5"/>
  <c r="S474" i="5"/>
  <c r="S585" i="5"/>
  <c r="S583" i="5"/>
  <c r="S148" i="5"/>
  <c r="S588" i="5"/>
  <c r="S489" i="5"/>
  <c r="S593" i="5"/>
  <c r="S112" i="5"/>
  <c r="D24" i="6" l="1"/>
  <c r="C40" i="6"/>
  <c r="G68" i="6"/>
  <c r="H68" i="6" s="1"/>
  <c r="D68" i="6" s="1"/>
  <c r="C39" i="6"/>
  <c r="C35" i="6"/>
  <c r="C46" i="6"/>
  <c r="C34" i="6"/>
  <c r="D34" i="6"/>
  <c r="D31" i="6"/>
  <c r="C30" i="6"/>
  <c r="D30" i="6"/>
  <c r="C32" i="6"/>
  <c r="D32" i="6"/>
  <c r="G66" i="6"/>
  <c r="H66" i="6" s="1"/>
  <c r="C66" i="6" s="1"/>
  <c r="G67" i="6"/>
  <c r="H67" i="6" s="1"/>
  <c r="D67" i="6" s="1"/>
  <c r="G65" i="6"/>
  <c r="H65" i="6" s="1"/>
  <c r="C65" i="6" s="1"/>
  <c r="C49" i="6"/>
  <c r="C47" i="6"/>
  <c r="C60" i="6"/>
  <c r="D60" i="6"/>
  <c r="D58" i="6"/>
  <c r="C58" i="6"/>
  <c r="D63" i="6"/>
  <c r="C63" i="6"/>
  <c r="C62" i="6"/>
  <c r="D62" i="6"/>
  <c r="C54" i="6"/>
  <c r="D54" i="6"/>
  <c r="D57" i="6"/>
  <c r="C57" i="6"/>
  <c r="F56" i="6"/>
  <c r="H56" i="6" s="1"/>
  <c r="H55" i="6"/>
  <c r="D59" i="6"/>
  <c r="C59" i="6"/>
  <c r="C68" i="6" l="1"/>
  <c r="D65" i="6"/>
  <c r="D66" i="6"/>
  <c r="C67" i="6"/>
  <c r="G69" i="6"/>
  <c r="H69" i="6" s="1"/>
  <c r="H70" i="6" s="1"/>
  <c r="D2" i="6" s="1"/>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<sst xmlns="http://schemas.openxmlformats.org/spreadsheetml/2006/main" count="22319" uniqueCount="15640">
  <si>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</si>
  <si>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</si>
  <si>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</si>
  <si>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</si>
  <si>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</si>
  <si>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</si>
  <si>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</si>
  <si>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</si>
  <si>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</si>
  <si>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</si>
  <si>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</si>
  <si>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</si>
  <si>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</si>
  <si>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</si>
  <si>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</si>
  <si>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</si>
  <si>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</si>
  <si>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</si>
  <si>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</si>
  <si>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</si>
  <si>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</si>
  <si>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</si>
  <si>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</si>
  <si>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</si>
  <si>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</si>
  <si>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</si>
  <si>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</si>
  <si>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</si>
  <si>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</si>
  <si>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</si>
  <si>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</si>
  <si>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</si>
  <si>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</si>
  <si>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</si>
  <si>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</si>
  <si>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</si>
  <si>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</si>
  <si>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</si>
  <si>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</si>
  <si>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</si>
  <si>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</si>
  <si>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</si>
  <si>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</si>
  <si>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</si>
  <si>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</si>
  <si>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</si>
  <si>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</si>
  <si>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</si>
  <si>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</si>
  <si>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</si>
  <si>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</si>
  <si>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</si>
  <si>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</si>
  <si>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</si>
  <si>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</si>
  <si>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</si>
  <si>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</si>
  <si>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</si>
  <si>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</si>
  <si>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</si>
  <si>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</si>
  <si>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</si>
  <si>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</si>
  <si>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</si>
  <si>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</si>
  <si>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</si>
  <si>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</si>
  <si>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</si>
  <si>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</si>
  <si>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</si>
  <si>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</si>
  <si>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</si>
  <si>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</si>
  <si>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</si>
  <si>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</si>
  <si>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</si>
  <si>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</si>
  <si>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</si>
  <si>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</si>
  <si>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</si>
  <si>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</si>
  <si>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</si>
  <si>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</si>
  <si>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</si>
  <si>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</si>
  <si>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</si>
  <si>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</si>
  <si>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</si>
  <si>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</si>
  <si>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</si>
  <si>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</si>
  <si>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</si>
  <si>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</si>
  <si>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</si>
  <si>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</si>
  <si>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</si>
  <si>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</si>
  <si>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</si>
  <si>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</si>
  <si>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</si>
  <si>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</si>
  <si>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</si>
  <si>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</si>
  <si>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</si>
  <si>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</si>
  <si>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</si>
  <si>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</si>
  <si>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</si>
  <si>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</si>
  <si>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</si>
  <si>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</si>
  <si>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</si>
  <si>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</si>
  <si>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</si>
  <si>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</si>
  <si>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</si>
  <si>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</si>
  <si>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</si>
  <si>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</si>
  <si>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</si>
  <si>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</si>
  <si>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</si>
  <si>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</si>
  <si>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</si>
  <si>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</si>
  <si>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</si>
  <si>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</si>
  <si>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</si>
  <si>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</si>
  <si>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</si>
  <si>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</si>
  <si>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</si>
  <si>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</si>
  <si>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</si>
  <si>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</si>
  <si>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</si>
  <si>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</si>
  <si>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</si>
  <si>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</si>
  <si>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</si>
  <si>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</si>
  <si>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</si>
  <si>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</si>
  <si>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</si>
  <si>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</si>
  <si>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</si>
  <si>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</si>
  <si>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</si>
  <si>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</si>
  <si>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</si>
  <si>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</si>
  <si>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</si>
  <si>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</si>
  <si>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</si>
  <si>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</si>
  <si>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</si>
  <si>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</si>
  <si>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</si>
  <si>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</si>
  <si>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</si>
  <si>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</si>
  <si>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</si>
  <si>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</si>
  <si>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</si>
  <si>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</si>
  <si>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</si>
  <si>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</si>
  <si>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</si>
  <si>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</si>
  <si>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</si>
  <si>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</si>
  <si>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</si>
  <si>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</si>
  <si>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</si>
  <si>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</si>
  <si>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</si>
  <si>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</si>
  <si>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</si>
  <si>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</si>
  <si>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</si>
  <si>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</si>
  <si>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</si>
  <si>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</si>
  <si>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</si>
  <si>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</si>
  <si>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</si>
  <si>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</si>
  <si>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</si>
  <si>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</si>
  <si>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</si>
  <si>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</si>
  <si>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</si>
  <si>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</si>
  <si>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</si>
  <si>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</si>
  <si>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</si>
  <si>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</si>
  <si>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</si>
  <si>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</si>
  <si>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</si>
  <si>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</si>
  <si>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</si>
  <si>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</si>
  <si>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</si>
  <si>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</si>
  <si>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</si>
  <si>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</si>
  <si>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</si>
  <si>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</si>
  <si>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</si>
  <si>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</si>
  <si>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</si>
  <si>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</si>
  <si>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</si>
  <si>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</si>
  <si>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</si>
  <si>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</si>
  <si>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</si>
  <si>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</si>
  <si>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</si>
  <si>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</si>
  <si>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</si>
  <si>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</si>
  <si>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</si>
  <si>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</si>
  <si>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</si>
  <si>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</si>
  <si>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</si>
  <si>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</si>
  <si>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</si>
  <si>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</si>
  <si>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</si>
  <si>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</si>
  <si>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</si>
  <si>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</si>
  <si>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</si>
  <si>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</si>
  <si>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</si>
  <si>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</si>
  <si>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</si>
  <si>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</si>
  <si>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</si>
  <si>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</si>
  <si>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</si>
  <si>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</si>
  <si>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</si>
  <si>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</si>
  <si>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</si>
  <si>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</si>
  <si>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</si>
  <si>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</si>
  <si>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</si>
  <si>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</si>
  <si>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</si>
  <si>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</si>
  <si>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</si>
  <si>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</si>
  <si>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</si>
  <si>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</si>
  <si>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</si>
  <si>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</si>
  <si>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</si>
  <si>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</si>
  <si>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</si>
  <si>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</si>
  <si>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</si>
  <si>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</si>
  <si>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</si>
  <si>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</si>
  <si>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</si>
  <si>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</si>
  <si>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</si>
  <si>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</si>
  <si>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</si>
  <si>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</si>
  <si>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</si>
  <si>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</si>
  <si>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</si>
  <si>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</si>
  <si>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</si>
  <si>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</si>
  <si>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</si>
  <si>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</si>
  <si>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</si>
  <si>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</si>
  <si>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</si>
  <si>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</si>
  <si>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</si>
  <si>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</si>
  <si>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</si>
  <si>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</si>
  <si>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</si>
  <si>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</si>
  <si>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</si>
  <si>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</si>
  <si>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</si>
  <si>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</si>
  <si>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</si>
  <si>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</si>
  <si>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</si>
  <si>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</si>
  <si>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</si>
  <si>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</si>
  <si>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</si>
  <si>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</si>
  <si>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</si>
  <si>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</si>
  <si>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</si>
  <si>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</si>
  <si>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</si>
  <si>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</si>
  <si>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</si>
  <si>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</si>
  <si>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</si>
  <si>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</si>
  <si>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</si>
  <si>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</si>
  <si>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</si>
  <si>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</si>
  <si>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</si>
  <si>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</si>
  <si>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</si>
  <si>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</si>
  <si>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</si>
  <si>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</si>
  <si>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</si>
  <si>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</si>
  <si>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</si>
  <si>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</si>
  <si>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</si>
  <si>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</si>
  <si>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</si>
  <si>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</si>
  <si>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</si>
  <si>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</si>
  <si>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</si>
  <si>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</si>
  <si>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</si>
  <si>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</si>
  <si>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</si>
  <si>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</si>
  <si>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</si>
  <si>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</si>
  <si>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</si>
  <si>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</si>
  <si>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</si>
  <si>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</si>
  <si>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</si>
  <si>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</si>
  <si>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</si>
  <si>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</si>
  <si>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</si>
  <si>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</si>
  <si>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</si>
  <si>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</si>
  <si>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</si>
  <si>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</si>
  <si>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</si>
  <si>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</si>
  <si>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</si>
  <si>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</si>
  <si>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</si>
  <si>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</si>
  <si>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</si>
  <si>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</si>
  <si>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</si>
  <si>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</si>
  <si>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</si>
  <si>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</si>
  <si>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</si>
  <si>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</si>
  <si>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</si>
  <si>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</si>
  <si>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</si>
  <si>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</si>
  <si>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</si>
  <si>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</si>
  <si>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</si>
  <si>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</si>
  <si>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</si>
  <si>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</si>
  <si>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</si>
  <si>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</si>
  <si>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</si>
  <si>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</si>
  <si>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</si>
  <si>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</si>
  <si>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</si>
  <si>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</si>
  <si>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</si>
  <si>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</si>
  <si>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</si>
  <si>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</si>
  <si>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</si>
  <si>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</si>
  <si>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</si>
  <si>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</si>
  <si>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</si>
  <si>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</si>
  <si>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</si>
  <si>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</si>
  <si>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</si>
  <si>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</si>
  <si>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</si>
  <si>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</si>
  <si>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</si>
  <si>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</si>
  <si>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</si>
  <si>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</si>
  <si>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</si>
  <si>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</si>
  <si>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</si>
  <si>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</si>
  <si>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</si>
  <si>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</si>
  <si>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</si>
  <si>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</si>
  <si>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</si>
  <si>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</si>
  <si>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</si>
  <si>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</si>
  <si>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</si>
  <si>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</si>
  <si>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</si>
  <si>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</si>
  <si>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</si>
  <si>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</si>
  <si>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</si>
  <si>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</si>
  <si>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</si>
  <si>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</si>
  <si>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</si>
  <si>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</si>
  <si>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</si>
  <si>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</si>
  <si>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</si>
  <si>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</si>
  <si>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</si>
  <si>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</si>
  <si>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</si>
  <si>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</si>
  <si>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</si>
  <si>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</si>
  <si>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</si>
  <si>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</si>
  <si>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</si>
  <si>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</si>
  <si>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</si>
  <si>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</si>
  <si>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</si>
  <si>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</si>
  <si>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</si>
  <si>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</si>
  <si>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</si>
  <si>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</si>
  <si>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</si>
  <si>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</si>
  <si>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</si>
  <si>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</si>
  <si>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</si>
  <si>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</si>
  <si>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</si>
  <si>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</si>
  <si>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</si>
  <si>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</si>
  <si>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</si>
  <si>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</si>
  <si>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</si>
  <si>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</si>
  <si>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</si>
  <si>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</si>
  <si>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</si>
  <si>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</si>
  <si>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</si>
  <si>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</si>
  <si>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</si>
  <si>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</si>
  <si>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</si>
  <si>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</si>
  <si>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</si>
  <si>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</si>
  <si>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</si>
  <si>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</si>
  <si>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</si>
  <si>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</si>
  <si>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</si>
  <si>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</si>
  <si>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</si>
  <si>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</si>
  <si>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</si>
  <si>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</si>
  <si>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</si>
  <si>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</si>
  <si>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</si>
  <si>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</si>
  <si>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</si>
  <si>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</si>
  <si>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</si>
  <si>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</si>
  <si>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</si>
  <si>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</si>
  <si>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</si>
  <si>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</si>
  <si>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</si>
  <si>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</si>
  <si>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</si>
  <si>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</si>
  <si>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</si>
  <si>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</si>
  <si>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</si>
  <si>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</si>
  <si>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</si>
  <si>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</si>
  <si>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</si>
  <si>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</si>
  <si>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</si>
  <si>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</si>
  <si>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</si>
  <si>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</si>
  <si>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</si>
  <si>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</si>
  <si>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</si>
  <si>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</si>
  <si>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</si>
  <si>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</si>
  <si>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</si>
  <si>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</si>
  <si>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</si>
  <si>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</si>
  <si>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</si>
  <si>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</si>
  <si>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</si>
  <si>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</si>
  <si>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</si>
  <si>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</si>
  <si>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</si>
  <si>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</si>
  <si>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</si>
  <si>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</si>
  <si>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</si>
  <si>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</si>
  <si>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</si>
  <si>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</si>
  <si>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</si>
  <si>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</si>
  <si>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</si>
  <si>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</si>
  <si>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</si>
  <si>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</si>
  <si>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</si>
  <si>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</si>
  <si>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</si>
  <si>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</si>
  <si>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</si>
  <si>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</si>
  <si>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</si>
  <si>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</si>
  <si>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</si>
  <si>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</si>
  <si>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</si>
  <si>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</si>
  <si>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</si>
  <si>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</si>
  <si>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</si>
  <si>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</si>
  <si>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</si>
  <si>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</si>
  <si>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</si>
  <si>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</si>
  <si>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</si>
  <si>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</si>
  <si>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</si>
  <si>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</si>
  <si>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</si>
  <si>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</si>
  <si>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</si>
  <si>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</si>
  <si>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</si>
  <si>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</si>
  <si>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</si>
  <si>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</si>
  <si>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</si>
  <si>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</si>
  <si>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</si>
  <si>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</si>
  <si>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</si>
  <si>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</si>
  <si>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</si>
  <si>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</si>
  <si>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</si>
  <si>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</si>
  <si>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</si>
  <si>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</si>
  <si>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</si>
  <si>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</si>
  <si>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</si>
  <si>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</si>
  <si>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</si>
  <si>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</si>
  <si>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</si>
  <si>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</si>
  <si>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</si>
  <si>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</si>
  <si>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</si>
  <si>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</si>
  <si>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</si>
  <si>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</si>
  <si>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</si>
  <si>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</si>
  <si>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</si>
  <si>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</si>
  <si>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</si>
  <si>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</si>
  <si>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</si>
  <si>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</si>
  <si>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</si>
  <si>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</si>
  <si>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</si>
  <si>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</si>
  <si>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</si>
  <si>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</si>
  <si>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</si>
  <si>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</si>
  <si>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</si>
  <si>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</si>
  <si>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</si>
  <si>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</si>
  <si>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</si>
  <si>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</si>
  <si>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</si>
  <si>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</si>
  <si>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</si>
  <si>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</si>
  <si>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</si>
  <si>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</si>
  <si>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</si>
  <si>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</si>
  <si>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</si>
  <si>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</si>
  <si>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</si>
  <si>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</si>
  <si>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</si>
  <si>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</si>
  <si>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</si>
  <si>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</si>
  <si>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</si>
  <si>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</si>
  <si>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</si>
  <si>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</si>
  <si>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</si>
  <si>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</si>
  <si>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</si>
  <si>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</si>
  <si>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</si>
  <si>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</si>
  <si>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</si>
  <si>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</si>
  <si>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</si>
  <si>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</si>
  <si>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</si>
  <si>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</si>
  <si>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</si>
  <si>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</si>
  <si>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</si>
  <si>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</si>
  <si>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</si>
  <si>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</si>
  <si>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</si>
  <si>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</si>
  <si>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</si>
  <si>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</si>
  <si>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</si>
  <si>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</si>
  <si>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</si>
  <si>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</si>
  <si>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</si>
  <si>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</si>
  <si>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</si>
  <si>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</si>
  <si>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</si>
  <si>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</si>
  <si>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</si>
  <si>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</si>
  <si>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</si>
  <si>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</si>
  <si>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</si>
  <si>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</si>
  <si>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</si>
  <si>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</si>
  <si>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</si>
  <si>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</si>
  <si>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</si>
  <si>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</si>
  <si>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</si>
  <si>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</si>
  <si>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</si>
  <si>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</si>
  <si>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</si>
  <si>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</si>
  <si>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</si>
  <si>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</si>
  <si>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</si>
  <si>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</si>
  <si>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</si>
  <si>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</si>
  <si>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</si>
  <si>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</si>
  <si>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</si>
  <si>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</si>
  <si>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</si>
  <si>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</si>
  <si>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</si>
  <si>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</si>
  <si>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</si>
  <si>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</si>
  <si>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</si>
  <si>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</si>
  <si>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</si>
  <si>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</si>
  <si>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</si>
  <si>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</si>
  <si>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</si>
  <si>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</si>
  <si>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</si>
  <si>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</si>
  <si>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</si>
  <si>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</si>
  <si>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</si>
  <si>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</si>
  <si>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</si>
  <si>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</si>
  <si>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</si>
  <si>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</si>
  <si>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</si>
  <si>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</si>
  <si>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</si>
  <si>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</si>
  <si>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</si>
  <si>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</si>
  <si>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</si>
  <si>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</si>
  <si>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</si>
  <si>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</si>
  <si>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</si>
  <si>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</si>
  <si>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</si>
  <si>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</si>
  <si>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</si>
  <si>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</si>
  <si>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</si>
  <si>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</si>
  <si>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</si>
  <si>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</si>
  <si>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</si>
  <si>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</si>
  <si>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</si>
  <si>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</si>
  <si>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</si>
  <si>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</si>
  <si>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</si>
  <si>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</si>
  <si>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</si>
  <si>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</si>
  <si>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</si>
  <si>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</si>
  <si>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</si>
  <si>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</si>
  <si>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</si>
  <si>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</si>
  <si>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</si>
  <si>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</si>
  <si>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</si>
  <si>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</si>
  <si>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</si>
  <si>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</si>
  <si>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</si>
  <si>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</si>
  <si>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</si>
  <si>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</si>
  <si>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</si>
  <si>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</si>
  <si>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</si>
  <si>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</si>
  <si>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</si>
  <si>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</si>
  <si>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</si>
  <si>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</si>
  <si>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</si>
  <si>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</si>
  <si>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</si>
  <si>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</si>
  <si>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</si>
  <si>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</si>
  <si>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</si>
  <si>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</si>
  <si>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</si>
  <si>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</si>
  <si>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</si>
  <si>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</si>
  <si>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</si>
  <si>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</si>
  <si>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</si>
  <si>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</si>
  <si>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</si>
  <si>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</si>
  <si>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</si>
  <si>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</si>
  <si>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</si>
  <si>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</si>
  <si>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</si>
  <si>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</si>
  <si>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</si>
  <si>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</si>
  <si>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</si>
  <si>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</si>
  <si>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</si>
  <si>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</si>
  <si>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</si>
  <si>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</si>
  <si>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</si>
  <si>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</si>
  <si>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</si>
  <si>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</si>
  <si>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</si>
  <si>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</si>
  <si>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</si>
  <si>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</si>
  <si>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</si>
  <si>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</si>
  <si>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</si>
  <si>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</si>
  <si>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</si>
  <si>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</si>
  <si>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</si>
  <si>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</si>
  <si>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</si>
  <si>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</si>
  <si>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</si>
  <si>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</si>
  <si>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</si>
  <si>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</si>
  <si>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</si>
  <si>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</si>
  <si>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</si>
  <si>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</si>
  <si>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</si>
  <si>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</si>
  <si>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</si>
  <si>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</si>
  <si>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</si>
  <si>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</si>
  <si>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</si>
  <si>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</si>
  <si>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</si>
  <si>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</si>
  <si>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</si>
  <si>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</si>
  <si>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</si>
  <si>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</si>
  <si>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</si>
  <si>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</si>
  <si>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</si>
  <si>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</si>
  <si>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</si>
  <si>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</si>
  <si>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</si>
  <si>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</si>
  <si>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</si>
  <si>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</si>
  <si>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</si>
  <si>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</si>
  <si>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</si>
  <si>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</si>
  <si>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</si>
  <si>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</si>
  <si>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</si>
  <si>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</si>
  <si>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</si>
  <si>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</si>
  <si>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</si>
  <si>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</si>
  <si>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</si>
  <si>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</si>
  <si>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</si>
  <si>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</si>
  <si>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</si>
  <si>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</si>
  <si>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</si>
  <si>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</si>
  <si>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</si>
  <si>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</si>
  <si>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</si>
  <si>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</si>
  <si>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</si>
  <si>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</si>
  <si>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</si>
  <si>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</si>
  <si>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</si>
  <si>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</si>
  <si>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</si>
  <si>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</si>
  <si>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</si>
  <si>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</si>
  <si>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</si>
  <si>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</si>
  <si>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</si>
  <si>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</si>
  <si>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</si>
  <si>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</si>
  <si>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</si>
  <si>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</si>
  <si>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</si>
  <si>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</si>
  <si>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</si>
  <si>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</si>
  <si>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</si>
  <si>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</si>
  <si>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</si>
  <si>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</si>
  <si>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</si>
  <si>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</si>
  <si>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</si>
  <si>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</si>
  <si>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</si>
  <si>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</si>
  <si>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</si>
  <si>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</si>
  <si>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</si>
  <si>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</si>
  <si>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</si>
  <si>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</si>
  <si>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</si>
  <si>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</si>
  <si>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</si>
  <si>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</si>
  <si>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</si>
  <si>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</si>
  <si>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</si>
  <si>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</si>
  <si>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</si>
  <si>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</si>
  <si>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</si>
  <si>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</si>
  <si>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</si>
  <si>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</si>
  <si>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</si>
  <si>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</si>
  <si>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</si>
  <si>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</si>
  <si>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</si>
  <si>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</si>
  <si>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</si>
  <si>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</si>
  <si>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</si>
  <si>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</si>
  <si>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</si>
  <si>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</si>
  <si>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</si>
  <si>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</si>
  <si>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</si>
  <si>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</si>
  <si>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</si>
  <si>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</si>
  <si>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</si>
  <si>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</si>
  <si>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</si>
  <si>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</si>
  <si>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</si>
  <si>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</si>
  <si>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</si>
  <si>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</si>
  <si>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</si>
  <si>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</si>
  <si>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</si>
  <si>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</si>
  <si>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</si>
  <si>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</si>
  <si>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</si>
  <si>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</si>
  <si>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</si>
  <si>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</si>
  <si>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</si>
  <si>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</si>
  <si>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</si>
  <si>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</si>
  <si>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</si>
  <si>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</si>
  <si>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</si>
  <si>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</si>
  <si>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</si>
  <si>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</si>
  <si>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</si>
  <si>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</si>
  <si>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</si>
  <si>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</si>
  <si>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</si>
  <si>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</si>
  <si>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</si>
  <si>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</si>
  <si>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</si>
  <si>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</si>
  <si>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</si>
  <si>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</si>
  <si>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</si>
  <si>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</si>
  <si>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</si>
  <si>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</si>
  <si>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</si>
  <si>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</si>
  <si>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</si>
  <si>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</si>
  <si>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</si>
  <si>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</si>
  <si>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</si>
  <si>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</si>
  <si>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</si>
  <si>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</si>
  <si>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</si>
  <si>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</si>
  <si>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</si>
  <si>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</si>
  <si>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</si>
  <si>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</si>
  <si>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</si>
  <si>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</si>
  <si>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</si>
  <si>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</si>
  <si>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</si>
  <si>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</si>
  <si>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</si>
  <si>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</si>
  <si>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</si>
  <si>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</si>
  <si>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</si>
  <si>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</si>
  <si>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</si>
  <si>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</si>
  <si>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</si>
  <si>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</si>
  <si>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</si>
  <si>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</si>
  <si>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</si>
  <si>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</si>
  <si>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</si>
  <si>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</si>
  <si>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</si>
  <si>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</si>
  <si>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</si>
  <si>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</si>
  <si>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</si>
  <si>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</si>
  <si>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</si>
  <si>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</si>
  <si>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</si>
  <si>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</si>
  <si>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</si>
  <si>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</si>
  <si>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</si>
  <si>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</si>
  <si>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</si>
  <si>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</si>
  <si>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</si>
  <si>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</si>
  <si>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</si>
  <si>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</si>
  <si>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</si>
  <si>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</si>
  <si>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</si>
  <si>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</si>
  <si>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</si>
  <si>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</si>
  <si>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</si>
  <si>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</si>
  <si>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</si>
  <si>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</si>
  <si>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</si>
  <si>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</si>
  <si>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</si>
  <si>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</si>
  <si>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</si>
  <si>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</si>
  <si>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</si>
  <si>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</si>
  <si>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</si>
  <si>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</si>
  <si>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</si>
  <si>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</si>
  <si>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</si>
  <si>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</si>
  <si>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</si>
  <si>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</si>
  <si>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</si>
  <si>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</si>
  <si>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</si>
  <si>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</si>
  <si>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</si>
  <si>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</si>
  <si>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</si>
  <si>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</si>
  <si>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</si>
  <si>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</si>
  <si>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</si>
  <si>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</si>
  <si>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</si>
  <si>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</si>
  <si>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</si>
  <si>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</si>
  <si>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</si>
  <si>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</si>
  <si>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</si>
  <si>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</si>
  <si>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</si>
  <si>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</si>
  <si>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</si>
  <si>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</si>
  <si>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</si>
  <si>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</si>
  <si>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</si>
  <si>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</si>
  <si>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</si>
  <si>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</si>
  <si>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</si>
  <si>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</si>
  <si>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</si>
  <si>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</si>
  <si>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</si>
  <si>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</si>
  <si>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</si>
  <si>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</si>
  <si>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</si>
  <si>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</si>
  <si>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</si>
  <si>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</si>
  <si>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</si>
  <si>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</si>
  <si>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</si>
  <si>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</si>
  <si>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</si>
  <si>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</si>
  <si>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</si>
  <si>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</si>
  <si>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</si>
  <si>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</si>
  <si>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</si>
  <si>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</si>
  <si>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</si>
  <si>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</si>
  <si>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</si>
  <si>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</si>
  <si>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</si>
  <si>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</si>
  <si>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</si>
  <si>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</si>
  <si>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</si>
  <si>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</si>
  <si>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</si>
  <si>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</si>
  <si>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</si>
  <si>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</si>
  <si>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</si>
  <si>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</si>
  <si>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</si>
  <si>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</si>
  <si>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</si>
  <si>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</si>
  <si>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</si>
  <si>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</si>
  <si>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</si>
  <si>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</si>
  <si>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</si>
  <si>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</si>
  <si>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</si>
  <si>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</si>
  <si>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</si>
  <si>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</si>
  <si>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</si>
  <si>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</si>
  <si>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</si>
  <si>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</si>
  <si>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</si>
  <si>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</si>
  <si>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</si>
  <si>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</si>
  <si>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</si>
  <si>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</si>
  <si>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</si>
  <si>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</si>
  <si>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</si>
  <si>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</si>
  <si>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</si>
  <si>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</si>
  <si>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</si>
  <si>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</si>
  <si>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</si>
  <si>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</si>
  <si>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</si>
  <si>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</si>
  <si>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</si>
  <si>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</si>
  <si>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</si>
  <si>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</si>
  <si>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</si>
  <si>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</si>
  <si>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</si>
  <si>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</si>
  <si>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</si>
  <si>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</si>
  <si>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</si>
  <si>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</si>
  <si>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</si>
  <si>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</si>
  <si>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</si>
  <si>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</si>
  <si>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</si>
  <si>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</si>
  <si>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</si>
  <si>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</si>
  <si>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</si>
  <si>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</si>
  <si>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</si>
  <si>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</si>
  <si>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</si>
  <si>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</si>
  <si>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</si>
  <si>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</si>
  <si>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</si>
  <si>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</si>
  <si>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</si>
  <si>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</si>
  <si>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</si>
  <si>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</si>
  <si>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</si>
  <si>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</si>
  <si>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</si>
  <si>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</si>
  <si>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</si>
  <si>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</si>
  <si>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</si>
  <si>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</si>
  <si>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</si>
  <si>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</si>
  <si>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</si>
  <si>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</si>
  <si>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</si>
  <si>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</si>
  <si>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</si>
  <si>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</si>
  <si>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</si>
  <si>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</si>
  <si>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</si>
  <si>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</si>
  <si>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</si>
  <si>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</si>
  <si>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</si>
  <si>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</si>
  <si>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</si>
  <si>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</si>
  <si>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</si>
  <si>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</si>
  <si>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</si>
  <si>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</si>
  <si>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</si>
  <si>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</si>
  <si>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</si>
  <si>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</si>
  <si>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</si>
  <si>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</si>
  <si>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</si>
  <si>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</si>
  <si>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</si>
  <si>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</si>
  <si>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</si>
  <si>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</si>
  <si>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</si>
  <si>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</si>
  <si>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</si>
  <si>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</si>
  <si>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</si>
  <si>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</si>
  <si>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</si>
  <si>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</si>
  <si>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</si>
  <si>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</si>
  <si>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</si>
  <si>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</si>
  <si>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</si>
  <si>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</si>
  <si>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</si>
  <si>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</si>
  <si>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</si>
  <si>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</si>
  <si>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</si>
  <si>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</si>
  <si>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</si>
  <si>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</si>
  <si>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</si>
  <si>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</si>
  <si>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</si>
  <si>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</si>
  <si>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</si>
  <si>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</si>
  <si>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</si>
  <si>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</si>
  <si>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</si>
  <si>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</si>
  <si>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</si>
  <si>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</si>
  <si>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</si>
  <si>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</si>
  <si>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</si>
  <si>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</si>
  <si>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</si>
  <si>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</si>
  <si>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</si>
  <si>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</si>
  <si>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</si>
  <si>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</si>
  <si>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</si>
  <si>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</si>
  <si>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</si>
  <si>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</si>
  <si>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</si>
  <si>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</si>
  <si>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</si>
  <si>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</si>
  <si>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</si>
  <si>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</si>
  <si>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</si>
  <si>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</si>
  <si>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</si>
  <si>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</si>
  <si>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</si>
  <si>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</si>
  <si>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</si>
  <si>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</si>
  <si>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</si>
  <si>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</si>
  <si>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</si>
  <si>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</si>
  <si>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</si>
  <si>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</si>
  <si>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</si>
  <si>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</si>
  <si>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</si>
  <si>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</si>
  <si>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</si>
  <si>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</si>
  <si>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</si>
  <si>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</si>
  <si>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</si>
  <si>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</si>
  <si>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</si>
  <si>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</si>
  <si>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</si>
  <si>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</si>
  <si>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</si>
  <si>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</si>
  <si>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</si>
  <si>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</si>
  <si>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</si>
  <si>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</si>
  <si>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</si>
  <si>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</si>
  <si>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</si>
  <si>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</si>
  <si>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</si>
  <si>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</si>
  <si>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</si>
  <si>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</si>
  <si>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</si>
  <si>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</si>
  <si>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</si>
  <si>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</si>
  <si>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</si>
  <si>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</si>
  <si>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</si>
  <si>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</si>
  <si>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</si>
  <si>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</si>
  <si>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</si>
  <si>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</si>
  <si>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</si>
  <si>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</si>
  <si>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</si>
  <si>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</si>
  <si>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</si>
  <si>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</si>
  <si>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</si>
  <si>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</si>
  <si>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</si>
  <si>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</si>
  <si>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</si>
  <si>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</si>
  <si>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</si>
  <si>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</si>
  <si>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</si>
  <si>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</si>
  <si>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</si>
  <si>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</si>
  <si>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</si>
  <si>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</si>
  <si>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</si>
  <si>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</si>
  <si>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</si>
  <si>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</si>
  <si>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</si>
  <si>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</si>
  <si>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</si>
  <si>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</si>
  <si>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</si>
  <si>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</si>
  <si>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</si>
  <si>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</si>
  <si>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</si>
  <si>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</si>
  <si>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</si>
  <si>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</si>
  <si>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</si>
  <si>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</si>
  <si>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</si>
  <si>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</si>
  <si>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</si>
  <si>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</si>
  <si>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</si>
  <si>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</si>
  <si>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</si>
  <si>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</si>
  <si>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</si>
  <si>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</si>
  <si>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</si>
  <si>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</si>
  <si>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</si>
  <si>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</si>
  <si>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</si>
  <si>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</si>
  <si>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</si>
  <si>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</si>
  <si>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</si>
  <si>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</si>
  <si>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</si>
  <si>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</si>
  <si>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</si>
  <si>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</si>
  <si>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</si>
  <si>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</si>
  <si>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</si>
  <si>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</si>
  <si>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</si>
  <si>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</si>
  <si>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</si>
  <si>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</si>
  <si>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</si>
  <si>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</si>
  <si>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</si>
  <si>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</si>
  <si>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</si>
  <si>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</si>
  <si>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</si>
  <si>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</si>
  <si>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</si>
  <si>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</si>
  <si>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</si>
  <si>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</si>
  <si>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</si>
  <si>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</si>
  <si>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</si>
  <si>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</si>
  <si>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</si>
  <si>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</si>
  <si>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</si>
  <si>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</si>
  <si>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</si>
  <si>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</si>
  <si>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</si>
  <si>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</si>
  <si>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</si>
  <si>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</si>
  <si>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</si>
  <si>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</si>
  <si>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</si>
  <si>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</si>
  <si>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</si>
  <si>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</si>
  <si>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</si>
  <si>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</si>
  <si>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</si>
  <si>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</si>
  <si>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</si>
  <si>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</si>
  <si>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</si>
  <si>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</si>
  <si>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</si>
  <si>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</si>
  <si>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</si>
  <si>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</si>
  <si>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</si>
  <si>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</si>
  <si>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</si>
  <si>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</si>
  <si>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</si>
  <si>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</si>
  <si>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</si>
  <si>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</si>
  <si>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</si>
  <si>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</si>
  <si>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</si>
  <si>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</si>
  <si>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</si>
  <si>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</si>
  <si>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</si>
  <si>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</si>
  <si>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</si>
  <si>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</si>
  <si>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</si>
  <si>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</si>
  <si>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</si>
  <si>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</si>
  <si>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</si>
  <si>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</si>
  <si>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</si>
  <si>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</si>
  <si>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</si>
  <si>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</si>
  <si>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</si>
  <si>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</si>
  <si>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</si>
  <si>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</si>
  <si>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</si>
  <si>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</si>
  <si>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</si>
  <si>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</si>
  <si>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</si>
  <si>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</si>
  <si>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</si>
  <si>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</si>
  <si>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</si>
  <si>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</si>
  <si>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</si>
  <si>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</si>
  <si>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</si>
  <si>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</si>
  <si>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</si>
  <si>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</si>
  <si>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</si>
  <si>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</si>
  <si>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</si>
  <si>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</si>
  <si>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</si>
  <si>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</si>
  <si>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</si>
  <si>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</si>
  <si>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</si>
  <si>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</si>
  <si>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</si>
  <si>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</si>
  <si>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</si>
  <si>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</si>
  <si>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</si>
  <si>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</si>
  <si>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</si>
  <si>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</si>
  <si>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</si>
  <si>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</si>
  <si>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</si>
  <si>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</si>
  <si>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</si>
  <si>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</si>
  <si>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</si>
  <si>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</si>
  <si>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</si>
  <si>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</si>
  <si>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</si>
  <si>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</si>
  <si>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</si>
  <si>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</si>
  <si>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</si>
  <si>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</si>
  <si>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</si>
  <si>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</si>
  <si>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</si>
  <si>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</si>
  <si>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</si>
  <si>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</si>
  <si>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</si>
  <si>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</si>
  <si>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</si>
  <si>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</si>
  <si>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</si>
  <si>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</si>
  <si>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</si>
  <si>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</si>
  <si>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</si>
  <si>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</si>
  <si>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</si>
  <si>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</si>
  <si>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</si>
  <si>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</si>
  <si>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</si>
  <si>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</si>
  <si>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</si>
  <si>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</si>
  <si>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</si>
  <si>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</si>
  <si>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</si>
  <si>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</si>
  <si>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</si>
  <si>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</si>
  <si>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</si>
  <si>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</si>
  <si>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</si>
  <si>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</si>
  <si>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</si>
  <si>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</si>
  <si>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</si>
  <si>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</si>
  <si>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</si>
  <si>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</si>
  <si>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</si>
  <si>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</si>
  <si>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</si>
  <si>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</si>
  <si>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</si>
  <si>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</si>
  <si>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</si>
  <si>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</si>
  <si>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</si>
  <si>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</si>
  <si>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</si>
  <si>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</si>
  <si>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</si>
  <si>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</si>
  <si>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</si>
  <si>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</si>
  <si>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</si>
  <si>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</si>
  <si>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</si>
  <si>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</si>
  <si>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</si>
  <si>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</si>
  <si>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</si>
  <si>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</si>
  <si>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</si>
  <si>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</si>
  <si>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</si>
  <si>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</si>
  <si>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</si>
  <si>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</si>
  <si>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</si>
  <si>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</si>
  <si>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</si>
  <si>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</si>
  <si>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</si>
  <si>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</si>
  <si>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</si>
  <si>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</si>
  <si>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</si>
  <si>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</si>
  <si>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</si>
  <si>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</si>
  <si>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</si>
  <si>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</si>
  <si>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</si>
  <si>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</si>
  <si>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</si>
  <si>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</si>
  <si>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</si>
  <si>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</si>
  <si>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</si>
  <si>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</si>
  <si>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</si>
  <si>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</si>
  <si>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</si>
  <si>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</si>
  <si>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</si>
  <si>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</si>
  <si>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</si>
  <si>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</si>
  <si>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</si>
  <si>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</si>
  <si>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</si>
  <si>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</si>
  <si>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</si>
  <si>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</si>
  <si>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</si>
  <si>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</si>
  <si>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</si>
  <si>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</si>
  <si>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</si>
  <si>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</si>
  <si>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</si>
  <si>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</si>
  <si>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</si>
  <si>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</si>
  <si>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</si>
  <si>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</si>
  <si>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</si>
  <si>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</si>
  <si>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</si>
  <si>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</si>
  <si>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</si>
  <si>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</si>
  <si>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</si>
  <si>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</si>
  <si>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</si>
  <si>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</si>
  <si>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</si>
  <si>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</si>
  <si>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</si>
  <si>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</si>
  <si>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</si>
  <si>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</si>
  <si>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</si>
  <si>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</si>
  <si>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</si>
  <si>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</si>
  <si>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</si>
  <si>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</si>
  <si>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</si>
  <si>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</si>
  <si>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</si>
  <si>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</si>
  <si>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</si>
  <si>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</si>
  <si>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</si>
  <si>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</si>
  <si>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</si>
  <si>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</si>
  <si>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</si>
  <si>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</si>
  <si>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</si>
  <si>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</si>
  <si>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</si>
  <si>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</si>
  <si>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</si>
  <si>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</si>
  <si>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</si>
  <si>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</si>
  <si>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</si>
  <si>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</si>
  <si>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</si>
  <si>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</si>
  <si>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</si>
  <si>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</si>
  <si>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</si>
  <si>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</si>
  <si>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</si>
  <si>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</si>
  <si>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</si>
  <si>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</si>
  <si>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</si>
  <si>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</si>
  <si>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</si>
  <si>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</si>
  <si>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</si>
  <si>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</si>
  <si>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</si>
  <si>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</si>
  <si>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</si>
  <si>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</si>
  <si>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</si>
  <si>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</si>
  <si>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</si>
  <si>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</si>
  <si>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</si>
  <si>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</si>
  <si>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</si>
  <si>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</si>
  <si>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</si>
  <si>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</si>
  <si>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</si>
  <si>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</si>
  <si>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</si>
  <si>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</si>
  <si>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</si>
  <si>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</si>
  <si>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</si>
  <si>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</si>
  <si>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</si>
  <si>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</si>
  <si>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</si>
  <si>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</si>
  <si>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</si>
  <si>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</si>
  <si>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</si>
  <si>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</si>
  <si>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</si>
  <si>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</si>
  <si>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</si>
  <si>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</si>
  <si>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</si>
  <si>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</si>
  <si>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</si>
  <si>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</si>
  <si>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</si>
  <si>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</si>
  <si>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</si>
  <si>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</si>
  <si>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</si>
  <si>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</si>
  <si>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</si>
  <si>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</si>
  <si>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</si>
  <si>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</si>
  <si>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</si>
  <si>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</si>
  <si>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</si>
  <si>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</si>
  <si>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</si>
  <si>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</si>
  <si>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</si>
  <si>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</si>
  <si>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</si>
  <si>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</si>
  <si>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</si>
  <si>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</si>
  <si>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</si>
  <si>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</si>
  <si>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</si>
  <si>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</si>
  <si>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</si>
  <si>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</si>
  <si>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</si>
  <si>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</si>
  <si>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</si>
  <si>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</si>
  <si>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</si>
  <si>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</si>
  <si>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</si>
  <si>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</si>
  <si>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</si>
  <si>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</si>
  <si>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</si>
  <si>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</si>
  <si>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</si>
  <si>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</si>
  <si>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</si>
  <si>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</si>
  <si>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</si>
  <si>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</si>
  <si>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</si>
  <si>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</si>
  <si>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</si>
  <si>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</si>
  <si>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</si>
  <si>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</si>
  <si>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</si>
  <si>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</si>
  <si>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</si>
  <si>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</si>
  <si>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</si>
  <si>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</si>
  <si>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</si>
  <si>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</si>
  <si>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</si>
  <si>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</si>
  <si>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</si>
  <si>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</si>
  <si>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</si>
  <si>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</si>
  <si>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</si>
  <si>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</si>
  <si>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</si>
  <si>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</si>
  <si>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</si>
  <si>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</si>
  <si>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</si>
  <si>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</si>
  <si>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</si>
  <si>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</si>
  <si>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</si>
  <si>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</si>
  <si>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</si>
  <si>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</si>
  <si>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</si>
  <si>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</si>
  <si>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</si>
  <si>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</si>
  <si>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</si>
  <si>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</si>
  <si>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</si>
  <si>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</si>
  <si>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</si>
  <si>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</si>
  <si>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</si>
  <si>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</si>
  <si>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</si>
  <si>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</si>
  <si>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</si>
  <si>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</si>
  <si>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</si>
  <si>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</si>
  <si>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</si>
  <si>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</si>
  <si>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</si>
  <si>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</si>
  <si>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</si>
  <si>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</si>
  <si>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</si>
  <si>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</si>
  <si>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</si>
  <si>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</si>
  <si>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</si>
  <si>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</si>
  <si>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</si>
  <si>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</si>
  <si>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</si>
  <si>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</si>
  <si>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</si>
  <si>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</si>
  <si>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</si>
  <si>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</si>
  <si>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</si>
  <si>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</si>
  <si>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</si>
  <si>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</si>
  <si>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</si>
  <si>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</si>
  <si>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</si>
  <si>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</si>
  <si>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</si>
  <si>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</si>
  <si>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</si>
  <si>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</si>
  <si>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</si>
  <si>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</si>
  <si>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</si>
  <si>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</si>
  <si>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</si>
  <si>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</si>
  <si>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</si>
  <si>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</si>
  <si>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</si>
  <si>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</si>
  <si>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</si>
  <si>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</si>
  <si>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</si>
  <si>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</si>
  <si>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</si>
  <si>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</si>
  <si>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</si>
  <si>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</si>
  <si>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</si>
  <si>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</si>
  <si>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</si>
  <si>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</si>
  <si>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</si>
  <si>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</si>
  <si>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</si>
  <si>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</si>
  <si>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</si>
  <si>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</si>
  <si>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</si>
  <si>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</si>
  <si>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</si>
  <si>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</si>
  <si>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</si>
  <si>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</si>
  <si>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</si>
  <si>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</si>
  <si>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</si>
  <si>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</si>
  <si>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</si>
  <si>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</si>
  <si>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</si>
  <si>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</si>
  <si>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</si>
  <si>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</si>
  <si>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</si>
  <si>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</si>
  <si>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</si>
  <si>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</si>
  <si>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</si>
  <si>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</si>
  <si>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</si>
  <si>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</si>
  <si>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</si>
  <si>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</si>
  <si>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</si>
  <si>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</si>
  <si>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</si>
  <si>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</si>
  <si>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</si>
  <si>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</si>
  <si>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</si>
  <si>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</si>
  <si>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</si>
  <si>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</si>
  <si>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</si>
  <si>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</si>
  <si>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</si>
  <si>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</si>
  <si>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</si>
  <si>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</si>
  <si>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</si>
  <si>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</si>
  <si>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</si>
  <si>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</si>
  <si>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</si>
  <si>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</si>
  <si>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</si>
  <si>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</si>
  <si>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</si>
  <si>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</si>
  <si>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</si>
  <si>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</si>
  <si>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</si>
  <si>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</si>
  <si>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</si>
  <si>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</si>
  <si>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</si>
  <si>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</si>
  <si>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</si>
  <si>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</si>
  <si>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</si>
  <si>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</si>
  <si>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</si>
  <si>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</si>
  <si>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</si>
  <si>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</si>
  <si>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</si>
  <si>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</si>
  <si>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</si>
  <si>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</si>
  <si>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</si>
  <si>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</si>
  <si>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</si>
  <si>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</si>
  <si>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</si>
  <si>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</si>
  <si>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</si>
  <si>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</si>
  <si>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</si>
  <si>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</si>
  <si>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</si>
  <si>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</si>
  <si>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</si>
  <si>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</si>
  <si>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</si>
  <si>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</si>
  <si>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</si>
  <si>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</si>
  <si>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</si>
  <si>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</si>
  <si>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</si>
  <si>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</si>
  <si>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</si>
  <si>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</si>
  <si>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</si>
  <si>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</si>
  <si>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</si>
  <si>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</si>
  <si>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</si>
  <si>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</si>
  <si>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</si>
  <si>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</si>
  <si>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</si>
  <si>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</si>
  <si>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</si>
  <si>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</si>
  <si>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</si>
  <si>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</si>
  <si>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</si>
  <si>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</si>
  <si>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</si>
  <si>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</si>
  <si>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</si>
  <si>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</si>
  <si>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</si>
  <si>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</si>
  <si>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</si>
  <si>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</si>
  <si>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</si>
  <si>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</si>
  <si>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</si>
  <si>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</si>
  <si>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</si>
  <si>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</si>
  <si>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</si>
  <si>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</si>
  <si>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</si>
  <si>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</si>
  <si>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</si>
  <si>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</si>
  <si>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</si>
  <si>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</si>
  <si>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</si>
  <si>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</si>
  <si>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</si>
  <si>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</si>
  <si>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</si>
  <si>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</si>
  <si>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</si>
  <si>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</si>
  <si>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</si>
  <si>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</si>
  <si>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</si>
  <si>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</si>
  <si>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</si>
  <si>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</si>
  <si>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</si>
  <si>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</si>
  <si>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</si>
  <si>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</si>
  <si>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</si>
  <si>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</si>
  <si>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</si>
  <si>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</si>
  <si>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</si>
  <si>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</si>
  <si>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</si>
  <si>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</si>
  <si>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</si>
  <si>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</si>
  <si>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</si>
  <si>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</si>
  <si>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</si>
  <si>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</si>
  <si>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</si>
  <si>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</si>
  <si>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</si>
  <si>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</si>
  <si>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</si>
  <si>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</si>
  <si>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</si>
  <si>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</si>
  <si>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</si>
  <si>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</si>
  <si>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</si>
  <si>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</si>
  <si>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</si>
  <si>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</si>
  <si>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</si>
  <si>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</si>
  <si>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</si>
  <si>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</si>
  <si>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</si>
  <si>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</si>
  <si>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</si>
  <si>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</si>
  <si>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</si>
  <si>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</si>
  <si>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</si>
  <si>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</si>
  <si>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</si>
  <si>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</si>
  <si>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</si>
  <si>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</si>
  <si>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</si>
  <si>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</si>
  <si>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</si>
  <si>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</si>
  <si>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</si>
  <si>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</si>
  <si>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</si>
  <si>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</si>
  <si>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</si>
  <si>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</si>
  <si>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</si>
  <si>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</si>
  <si>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</si>
  <si>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</si>
  <si>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</si>
  <si>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</si>
  <si>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</si>
  <si>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</si>
  <si>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</si>
  <si>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</si>
  <si>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</si>
  <si>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</si>
  <si>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</si>
  <si>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</si>
  <si>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</si>
  <si>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</si>
  <si>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</si>
  <si>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</si>
  <si>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</si>
  <si>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</si>
  <si>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</si>
  <si>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</si>
  <si>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</si>
  <si>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</si>
  <si>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</si>
  <si>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</si>
  <si>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</si>
  <si>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</si>
  <si>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</si>
  <si>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</si>
  <si>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</si>
  <si>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</si>
  <si>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</si>
  <si>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</si>
  <si>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</si>
  <si>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</si>
  <si>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</si>
  <si>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</si>
  <si>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</si>
  <si>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</si>
  <si>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</si>
  <si>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</si>
  <si>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</si>
  <si>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</si>
  <si>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</si>
  <si>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</si>
  <si>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</si>
  <si>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</si>
  <si>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</si>
  <si>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</si>
  <si>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</si>
  <si>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</si>
  <si>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</si>
  <si>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</si>
  <si>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</si>
  <si>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</si>
  <si>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</si>
  <si>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</si>
  <si>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</si>
  <si>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</si>
  <si>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</si>
  <si>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</si>
  <si>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</si>
  <si>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</si>
  <si>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</si>
  <si>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</si>
  <si>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</si>
  <si>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</si>
  <si>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</si>
  <si>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</si>
  <si>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</si>
  <si>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</si>
  <si>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</si>
  <si>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</si>
  <si>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</si>
  <si>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</si>
  <si>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</si>
  <si>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</si>
  <si>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</si>
  <si>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</si>
  <si>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</si>
  <si>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</si>
  <si>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</si>
  <si>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</si>
  <si>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</si>
  <si>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</si>
  <si>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</si>
  <si>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</si>
  <si>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</si>
  <si>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</si>
  <si>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</si>
  <si>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</si>
  <si>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</si>
  <si>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</si>
  <si>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</si>
  <si>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</si>
  <si>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</si>
  <si>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</si>
  <si>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</si>
  <si>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</si>
  <si>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</si>
  <si>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</si>
  <si>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</si>
  <si>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</si>
  <si>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</si>
  <si>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</si>
  <si>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</si>
  <si>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</si>
  <si>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</si>
  <si>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</si>
  <si>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</si>
  <si>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</si>
  <si>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</si>
  <si>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</si>
  <si>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</si>
  <si>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</si>
  <si>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</si>
  <si>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</si>
  <si>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</si>
  <si>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</si>
  <si>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</si>
  <si>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</si>
  <si>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</si>
  <si>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</si>
  <si>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</si>
  <si>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</si>
  <si>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</si>
  <si>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</si>
  <si>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</si>
  <si>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</si>
  <si>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</si>
  <si>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</si>
  <si>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</si>
  <si>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</si>
  <si>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</si>
  <si>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</si>
  <si>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</si>
  <si>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</si>
  <si>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</si>
  <si>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</si>
  <si>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</si>
  <si>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</si>
  <si>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</si>
  <si>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</si>
  <si>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</si>
  <si>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</si>
  <si>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</si>
  <si>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</si>
  <si>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</si>
  <si>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</si>
  <si>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</si>
  <si>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</si>
  <si>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</si>
  <si>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</si>
  <si>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</si>
  <si>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</si>
  <si>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</si>
  <si>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</si>
  <si>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</si>
  <si>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</si>
  <si>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</si>
  <si>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</si>
  <si>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</si>
  <si>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</si>
  <si>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</si>
  <si>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</si>
  <si>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</si>
  <si>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</si>
  <si>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</si>
  <si>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</si>
  <si>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</si>
  <si>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</si>
  <si>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</si>
  <si>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</si>
  <si>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</si>
  <si>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</si>
  <si>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</si>
  <si>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</si>
  <si>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</si>
  <si>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</si>
  <si>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</si>
  <si>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</si>
  <si>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</si>
  <si>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</si>
  <si>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</si>
  <si>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</si>
  <si>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</si>
  <si>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</si>
  <si>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</si>
  <si>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</si>
  <si>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</si>
  <si>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</si>
  <si>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</si>
  <si>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</si>
  <si>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</si>
  <si>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</si>
  <si>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</si>
  <si>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</si>
  <si>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</si>
  <si>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</si>
  <si>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</si>
  <si>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</si>
  <si>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</si>
  <si>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</si>
  <si>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</si>
  <si>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</si>
  <si>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</si>
  <si>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</si>
  <si>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</si>
  <si>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</si>
  <si>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</si>
  <si>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</si>
  <si>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</si>
  <si>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</si>
  <si>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</si>
  <si>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</si>
  <si>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</si>
  <si>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</si>
  <si>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</si>
  <si>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</si>
  <si>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</si>
  <si>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</si>
  <si>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</si>
  <si>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</si>
  <si>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</si>
  <si>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</si>
  <si>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</si>
  <si>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</si>
  <si>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</si>
  <si>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</si>
  <si>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</si>
  <si>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</si>
  <si>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</si>
  <si>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</si>
  <si>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</si>
  <si>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</si>
  <si>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</si>
  <si>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</si>
  <si>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</si>
  <si>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</si>
  <si>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</si>
  <si>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</si>
  <si>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</si>
  <si>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</si>
  <si>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</si>
  <si>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</si>
  <si>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</si>
  <si>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</si>
  <si>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</si>
  <si>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</si>
  <si>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</si>
  <si>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</si>
  <si>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</si>
  <si>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</si>
  <si>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</si>
  <si>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</si>
  <si>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</si>
  <si>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</si>
  <si>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</si>
  <si>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</si>
  <si>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</si>
  <si>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</si>
  <si>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</si>
  <si>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</si>
  <si>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</si>
  <si>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</si>
  <si>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</si>
  <si>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</si>
  <si>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</si>
  <si>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</si>
  <si>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</si>
  <si>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</si>
  <si>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</si>
  <si>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</si>
  <si>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</si>
  <si>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</si>
  <si>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</si>
  <si>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</si>
  <si>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</si>
  <si>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</si>
  <si>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</si>
  <si>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</si>
  <si>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</si>
  <si>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</si>
  <si>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</si>
  <si>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</si>
  <si>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</si>
  <si>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</si>
  <si>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</si>
  <si>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</si>
  <si>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</si>
  <si>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</si>
  <si>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</si>
  <si>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</si>
  <si>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</si>
  <si>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</si>
  <si>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</si>
  <si>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</si>
  <si>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</si>
  <si>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</si>
  <si>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</si>
  <si>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</si>
  <si>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</si>
  <si>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</si>
  <si>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</si>
  <si>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</si>
  <si>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</si>
  <si>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</si>
  <si>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</si>
  <si>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</si>
  <si>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</si>
  <si>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</si>
  <si>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</si>
  <si>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</si>
  <si>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</si>
  <si>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</si>
  <si>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</si>
  <si>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</si>
  <si>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</si>
  <si>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</si>
  <si>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</si>
  <si>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</si>
  <si>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</si>
  <si>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</si>
  <si>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</si>
  <si>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</si>
  <si>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</si>
  <si>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</si>
  <si>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</si>
  <si>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</si>
  <si>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</si>
  <si>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</si>
  <si>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</si>
  <si>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</si>
  <si>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</si>
  <si>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</si>
  <si>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</si>
  <si>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</si>
  <si>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</si>
  <si>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</si>
  <si>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</si>
  <si>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</si>
  <si>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</si>
  <si>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</si>
  <si>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</si>
  <si>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</si>
  <si>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</si>
  <si>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</si>
  <si>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</si>
  <si>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</si>
  <si>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</si>
  <si>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</si>
  <si>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</si>
  <si>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</si>
  <si>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</si>
  <si>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</si>
  <si>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</si>
  <si>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</si>
  <si>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</si>
  <si>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</si>
  <si>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</si>
  <si>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</si>
  <si>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</si>
  <si>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</si>
  <si>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</si>
  <si>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</si>
  <si>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</si>
  <si>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</si>
  <si>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</si>
  <si>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</si>
  <si>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</si>
  <si>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</si>
  <si>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</si>
  <si>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</si>
  <si>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</si>
  <si>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</si>
  <si>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</si>
  <si>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</si>
  <si>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</si>
  <si>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</si>
  <si>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</si>
  <si>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</si>
  <si>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</si>
  <si>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</si>
  <si>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</si>
  <si>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</si>
  <si>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</si>
  <si>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</si>
  <si>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</si>
  <si>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</si>
  <si>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</si>
  <si>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</si>
  <si>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</si>
  <si>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</si>
  <si>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</si>
  <si>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</si>
  <si>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</si>
  <si>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</si>
  <si>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</si>
  <si>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</si>
  <si>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</si>
  <si>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</si>
  <si>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</si>
  <si>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</si>
  <si>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</si>
  <si>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</si>
  <si>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</si>
  <si>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</si>
  <si>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</si>
  <si>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</si>
  <si>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</si>
  <si>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</si>
  <si>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</si>
  <si>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</si>
  <si>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</si>
  <si>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</si>
  <si>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</si>
  <si>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</si>
  <si>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</si>
  <si>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</si>
  <si>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</si>
  <si>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</si>
  <si>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</si>
  <si>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</si>
  <si>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</si>
  <si>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</si>
  <si>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</si>
  <si>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</si>
  <si>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</si>
  <si>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</si>
  <si>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</si>
  <si>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</si>
  <si>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</si>
  <si>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</si>
  <si>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</si>
  <si>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</si>
  <si>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</si>
  <si>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</si>
  <si>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</si>
  <si>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</si>
  <si>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</si>
  <si>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</si>
  <si>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</si>
  <si>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</si>
  <si>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</si>
  <si>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</si>
  <si>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</si>
  <si>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</si>
  <si>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</si>
  <si>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</si>
  <si>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</si>
  <si>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</si>
  <si>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</si>
  <si>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</si>
  <si>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</si>
  <si>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</si>
  <si>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</si>
  <si>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</si>
  <si>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</si>
  <si>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</si>
  <si>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</si>
  <si>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</si>
  <si>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</si>
  <si>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</si>
  <si>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</si>
  <si>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</si>
  <si>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</si>
  <si>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</si>
  <si>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</si>
  <si>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</si>
  <si>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</si>
  <si>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</si>
  <si>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</si>
  <si>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</si>
  <si>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</si>
  <si>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</si>
  <si>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</si>
  <si>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</si>
  <si>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</si>
  <si>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</si>
  <si>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</si>
  <si>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</si>
  <si>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</si>
  <si>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</si>
  <si>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</si>
  <si>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</si>
  <si>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</si>
  <si>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</si>
  <si>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</si>
  <si>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</si>
  <si>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</si>
  <si>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</si>
  <si>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</si>
  <si>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</si>
  <si>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</si>
  <si>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</si>
  <si>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</si>
  <si>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</si>
  <si>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</si>
  <si>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</si>
  <si>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</si>
  <si>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</si>
  <si>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</si>
  <si>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</si>
  <si>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</si>
  <si>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</si>
  <si>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</si>
  <si>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</si>
  <si>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</si>
  <si>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</si>
  <si>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</si>
  <si>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</si>
  <si>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</si>
  <si>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</si>
  <si>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</si>
  <si>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</si>
  <si>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</si>
  <si>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</si>
  <si>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</si>
  <si>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</si>
  <si>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</si>
  <si>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</si>
  <si>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</si>
  <si>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</si>
  <si>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</si>
  <si>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</si>
  <si>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</si>
  <si>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</si>
  <si>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</si>
  <si>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</si>
  <si>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</si>
  <si>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</si>
  <si>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</si>
  <si>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</si>
  <si>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</si>
  <si>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</si>
  <si>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</si>
  <si>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</si>
  <si>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</si>
  <si>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</si>
  <si>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</si>
  <si>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</si>
  <si>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</si>
  <si>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</si>
  <si>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</si>
  <si>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</si>
  <si>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</si>
  <si>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</si>
  <si>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</si>
  <si>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</si>
  <si>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</si>
  <si>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</si>
  <si>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</si>
  <si>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</si>
  <si>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</si>
  <si>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</si>
  <si>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</si>
  <si>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</si>
  <si>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</si>
  <si>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</si>
  <si>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</si>
  <si>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</si>
  <si>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</si>
  <si>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</si>
  <si>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</si>
  <si>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</si>
  <si>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</si>
  <si>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</si>
  <si>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</si>
  <si>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</si>
  <si>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</si>
  <si>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</si>
  <si>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</si>
  <si>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</si>
  <si>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</si>
  <si>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</si>
  <si>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</si>
  <si>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</si>
  <si>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</si>
  <si>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</si>
  <si>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</si>
  <si>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</si>
  <si>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</si>
  <si>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</si>
  <si>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</si>
  <si>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</si>
  <si>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</si>
  <si>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</si>
  <si>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</si>
  <si>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</si>
  <si>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</si>
  <si>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</si>
  <si>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</si>
  <si>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</si>
  <si>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</si>
  <si>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</si>
  <si>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</si>
  <si>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</si>
  <si>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</si>
  <si>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</si>
  <si>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</si>
  <si>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</si>
  <si>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</si>
  <si>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</si>
  <si>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</si>
  <si>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</si>
  <si>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</si>
  <si>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</si>
  <si>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</si>
  <si>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</si>
  <si>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</si>
  <si>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</si>
  <si>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</si>
  <si>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</si>
  <si>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</si>
  <si>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</si>
  <si>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</si>
  <si>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</si>
  <si>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</si>
  <si>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</si>
  <si>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</si>
  <si>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</si>
  <si>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</si>
  <si>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</si>
  <si>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</si>
  <si>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</si>
  <si>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</si>
  <si>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</si>
  <si>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</si>
  <si>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</si>
  <si>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</si>
  <si>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</si>
  <si>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</si>
  <si>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</si>
  <si>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</si>
  <si>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</si>
  <si>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</si>
  <si>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</si>
  <si>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</si>
  <si>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</si>
  <si>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</si>
  <si>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</si>
  <si>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</si>
  <si>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</si>
  <si>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</si>
  <si>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</si>
  <si>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</si>
  <si>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</si>
  <si>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</si>
  <si>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</si>
  <si>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</si>
  <si>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</si>
  <si>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</si>
  <si>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</si>
  <si>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</si>
  <si>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</si>
  <si>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</si>
  <si>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</si>
  <si>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</si>
  <si>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</si>
  <si>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</si>
  <si>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</si>
  <si>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</si>
  <si>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</si>
  <si>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</si>
  <si>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</si>
  <si>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</si>
  <si>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</si>
  <si>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</si>
  <si>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</si>
  <si>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</si>
  <si>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</si>
  <si>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</si>
  <si>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</si>
  <si>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</si>
  <si>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</si>
  <si>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</si>
  <si>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</si>
  <si>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</si>
  <si>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</si>
  <si>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</si>
  <si>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</si>
  <si>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</si>
  <si>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</si>
  <si>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</si>
  <si>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</si>
  <si>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</si>
  <si>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</si>
  <si>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</si>
  <si>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</si>
  <si>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</si>
  <si>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</si>
  <si>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</si>
  <si>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</si>
  <si>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</si>
  <si>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</si>
  <si>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</si>
  <si>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</si>
  <si>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</si>
  <si>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</si>
  <si>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</si>
  <si>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</si>
  <si>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</si>
  <si>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</si>
  <si>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</si>
  <si>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</si>
  <si>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</si>
  <si>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</si>
  <si>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</si>
  <si>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</si>
  <si>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</si>
  <si>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</si>
  <si>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</si>
  <si>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</si>
  <si>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</si>
  <si>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</si>
  <si>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</si>
  <si>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</si>
  <si>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</si>
  <si>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</si>
  <si>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</si>
  <si>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</si>
  <si>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</si>
  <si>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</si>
  <si>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</si>
  <si>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</si>
  <si>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</si>
  <si>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</si>
  <si>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</si>
  <si>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</si>
  <si>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</si>
  <si>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</si>
  <si>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</si>
  <si>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</si>
  <si>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</si>
  <si>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</si>
  <si>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</si>
  <si>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</si>
  <si>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</si>
  <si>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</si>
  <si>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</si>
  <si>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</si>
  <si>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</si>
  <si>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</si>
  <si>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</si>
  <si>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</si>
  <si>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</si>
  <si>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</si>
  <si>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</si>
  <si>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</si>
  <si>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</si>
  <si>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</si>
  <si>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</si>
  <si>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</si>
  <si>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</si>
  <si>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</si>
  <si>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</si>
  <si>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</si>
  <si>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</si>
  <si>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</si>
  <si>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</si>
  <si>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</si>
  <si>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</si>
  <si>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</si>
  <si>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</si>
  <si>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</si>
  <si>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</si>
  <si>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</si>
  <si>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</si>
  <si>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</si>
  <si>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</si>
  <si>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</si>
  <si>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</si>
  <si>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</si>
  <si>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</si>
  <si>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</si>
  <si>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</si>
  <si>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</si>
  <si>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</si>
  <si>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</si>
  <si>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</si>
  <si>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</si>
  <si>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</si>
  <si>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</si>
  <si>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</si>
  <si>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</si>
  <si>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</si>
  <si>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</si>
  <si>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</si>
  <si>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</si>
  <si>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</si>
  <si>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</si>
  <si>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</si>
  <si>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</si>
  <si>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</si>
  <si>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</si>
  <si>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</si>
  <si>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</si>
  <si>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</si>
  <si>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</si>
  <si>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</si>
  <si>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</si>
  <si>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</si>
  <si>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</si>
  <si>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</si>
  <si>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</si>
  <si>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</si>
  <si>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</si>
  <si>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</si>
  <si>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</si>
  <si>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</si>
  <si>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</si>
  <si>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</si>
  <si>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</si>
  <si>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</si>
  <si>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</si>
  <si>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</si>
  <si>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</si>
  <si>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</si>
  <si>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</si>
  <si>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</si>
  <si>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</si>
  <si>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</si>
  <si>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</si>
  <si>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</si>
  <si>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</si>
  <si>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</si>
  <si>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</si>
  <si>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</si>
  <si>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</si>
  <si>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</si>
  <si>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</si>
  <si>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</si>
  <si>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</si>
  <si>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</si>
  <si>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</si>
  <si>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</si>
  <si>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</si>
  <si>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</si>
  <si>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</si>
  <si>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</si>
  <si>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</si>
  <si>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</si>
  <si>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</si>
  <si>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</si>
  <si>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</si>
  <si>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</si>
  <si>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</si>
  <si>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</si>
  <si>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</si>
  <si>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</si>
  <si>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</si>
  <si>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</si>
  <si>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</si>
  <si>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</si>
  <si>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</si>
  <si>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</si>
  <si>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</si>
  <si>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</si>
  <si>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</si>
  <si>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</si>
  <si>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</si>
  <si>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</si>
  <si>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</si>
  <si>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</si>
  <si>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</si>
  <si>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</si>
  <si>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</si>
  <si>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</si>
  <si>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</si>
  <si>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</si>
  <si>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</si>
  <si>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</si>
  <si>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</si>
  <si>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</si>
  <si>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</si>
  <si>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</si>
  <si>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</si>
  <si>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</si>
  <si>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</si>
  <si>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</si>
  <si>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</si>
  <si>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</si>
  <si>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</si>
  <si>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</si>
  <si>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</si>
  <si>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</si>
  <si>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</si>
  <si>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</si>
  <si>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</si>
  <si>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</si>
  <si>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</si>
  <si>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</si>
  <si>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</si>
  <si>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</si>
  <si>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</si>
  <si>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</si>
  <si>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</si>
  <si>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</si>
  <si>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</si>
  <si>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</si>
  <si>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</si>
  <si>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</si>
  <si>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</si>
  <si>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</si>
  <si>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</si>
  <si>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</si>
  <si>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</si>
  <si>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</si>
  <si>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</si>
  <si>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</si>
  <si>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</si>
  <si>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</si>
  <si>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</si>
  <si>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</si>
  <si>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</si>
  <si>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</si>
  <si>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</si>
  <si>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</si>
  <si>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</si>
  <si>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</si>
  <si>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</si>
  <si>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</si>
  <si>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</si>
  <si>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</si>
  <si>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</si>
  <si>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</si>
  <si>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</si>
  <si>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</si>
  <si>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</si>
  <si>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</si>
  <si>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</si>
  <si>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</si>
  <si>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</si>
  <si>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</si>
  <si>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</si>
  <si>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</si>
  <si>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</si>
  <si>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</si>
  <si>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</si>
  <si>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</si>
  <si>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</si>
  <si>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</si>
  <si>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</si>
  <si>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</si>
  <si>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</si>
  <si>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</si>
  <si>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</si>
  <si>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</si>
  <si>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</si>
  <si>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</si>
  <si>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</si>
  <si>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</si>
  <si>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</si>
  <si>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</si>
  <si>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</si>
  <si>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</si>
  <si>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</si>
  <si>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</si>
  <si>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</si>
  <si>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</si>
  <si>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</si>
  <si>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</si>
  <si>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</si>
  <si>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</si>
  <si>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</si>
  <si>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</si>
  <si>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</si>
  <si>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</si>
  <si>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</si>
  <si>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</si>
  <si>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</si>
  <si>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</si>
  <si>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</si>
  <si>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</si>
  <si>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</si>
  <si>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</si>
  <si>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</si>
  <si>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</si>
  <si>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</si>
  <si>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</si>
  <si>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</si>
  <si>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</si>
  <si>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</si>
  <si>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</si>
  <si>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</si>
  <si>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</si>
  <si>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</si>
  <si>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</si>
  <si>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</si>
  <si>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</si>
  <si>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</si>
  <si>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</si>
  <si>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</si>
  <si>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</si>
  <si>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</si>
  <si>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</si>
  <si>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</si>
  <si>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</si>
  <si>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</si>
  <si>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</si>
  <si>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</si>
  <si>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</si>
  <si>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</si>
  <si>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</si>
  <si>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</si>
  <si>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</si>
  <si>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</si>
  <si>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</si>
  <si>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</si>
  <si>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</si>
  <si>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</si>
  <si>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</si>
  <si>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</si>
  <si>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</si>
  <si>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</si>
  <si>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</si>
  <si>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</si>
  <si>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</si>
  <si>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</si>
  <si>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</si>
  <si>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</si>
  <si>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</si>
  <si>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</si>
  <si>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</si>
  <si>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</si>
  <si>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</si>
  <si>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</si>
  <si>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</si>
  <si>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</si>
  <si>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</si>
  <si>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</si>
  <si>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</si>
  <si>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</si>
  <si>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</si>
  <si>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</si>
  <si>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</si>
  <si>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</si>
  <si>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</si>
  <si>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</si>
  <si>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</si>
  <si>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</si>
  <si>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</si>
  <si>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</si>
  <si>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</si>
  <si>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</si>
  <si>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</si>
  <si>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</si>
  <si>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</si>
  <si>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</si>
  <si>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</si>
  <si>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</si>
  <si>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</si>
  <si>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</si>
  <si>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</si>
  <si>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</si>
  <si>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</si>
  <si>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</si>
  <si>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</si>
  <si>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</si>
  <si>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</si>
  <si>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</si>
  <si>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</si>
  <si>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</si>
  <si>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</si>
  <si>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</si>
  <si>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</si>
  <si>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</si>
  <si>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</si>
  <si>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</si>
  <si>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</si>
  <si>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</si>
  <si>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</si>
  <si>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</si>
  <si>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</si>
  <si>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</si>
  <si>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</si>
  <si>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</si>
  <si>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</si>
  <si>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</si>
  <si>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</si>
  <si>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</si>
  <si>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</si>
  <si>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</si>
  <si>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</si>
  <si>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</si>
  <si>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</si>
  <si>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</si>
  <si>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</si>
  <si>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</si>
  <si>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</si>
  <si>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</si>
  <si>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</si>
  <si>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</si>
  <si>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</si>
  <si>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</si>
  <si>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</si>
  <si>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</si>
  <si>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</si>
  <si>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</si>
  <si>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</si>
  <si>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</si>
  <si>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</si>
  <si>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</si>
  <si>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</si>
  <si>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</si>
  <si>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</si>
  <si>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</si>
  <si>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</si>
  <si>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</si>
  <si>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</si>
  <si>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</si>
  <si>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</si>
  <si>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</si>
  <si>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</si>
  <si>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</si>
  <si>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</si>
  <si>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</si>
  <si>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</si>
  <si>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</si>
  <si>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</si>
  <si>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</si>
  <si>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</si>
  <si>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</si>
  <si>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</si>
  <si>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</si>
  <si>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</si>
  <si>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</si>
  <si>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</si>
  <si>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</si>
  <si>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</si>
  <si>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</si>
  <si>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</si>
  <si>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</si>
  <si>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</si>
  <si>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</si>
  <si>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</si>
  <si>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</si>
  <si>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</si>
  <si>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</si>
  <si>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</si>
  <si>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</si>
  <si>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</si>
  <si>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</si>
  <si>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</si>
  <si>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</si>
  <si>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</si>
  <si>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</si>
  <si>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</si>
  <si>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</si>
  <si>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</si>
  <si>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</si>
  <si>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</si>
  <si>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</si>
  <si>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</si>
  <si>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</si>
  <si>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</si>
  <si>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</si>
  <si>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</si>
  <si>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</si>
  <si>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</si>
  <si>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</si>
  <si>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</si>
  <si>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</si>
  <si>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</si>
  <si>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</si>
  <si>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</si>
  <si>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</si>
  <si>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</si>
  <si>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</si>
  <si>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</si>
  <si>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</si>
  <si>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</si>
  <si>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</si>
  <si>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</si>
  <si>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</si>
  <si>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</si>
  <si>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</si>
  <si>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</si>
  <si>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</si>
  <si>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</si>
  <si>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</si>
  <si>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</si>
  <si>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</si>
  <si>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</si>
  <si>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</si>
  <si>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</si>
  <si>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</si>
  <si>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</si>
  <si>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</si>
  <si>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</si>
  <si>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</si>
  <si>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</si>
  <si>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</si>
  <si>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</si>
  <si>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</si>
  <si>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</si>
  <si>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</si>
  <si>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</si>
  <si>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</si>
  <si>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</si>
  <si>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</si>
  <si>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</si>
  <si>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</si>
  <si>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</si>
  <si>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</si>
  <si>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</si>
  <si>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</si>
  <si>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</si>
  <si>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</si>
  <si>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</si>
  <si>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</si>
  <si>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</si>
  <si>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</si>
  <si>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</si>
  <si>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</si>
  <si>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</si>
  <si>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</si>
  <si>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</si>
  <si>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</si>
  <si>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</si>
  <si>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</si>
  <si>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</si>
  <si>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</si>
  <si>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</si>
  <si>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</si>
  <si>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</si>
  <si>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</si>
  <si>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</si>
  <si>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</si>
  <si>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</si>
  <si>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</si>
  <si>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</si>
  <si>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</si>
  <si>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</si>
  <si>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</si>
  <si>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</si>
  <si>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</si>
  <si>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</si>
  <si>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</si>
  <si>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</si>
  <si>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</si>
  <si>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</si>
  <si>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</si>
  <si>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</si>
  <si>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</si>
  <si>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</si>
  <si>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</si>
  <si>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</si>
  <si>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</si>
  <si>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</si>
  <si>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</si>
  <si>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</si>
  <si>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</si>
  <si>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</si>
  <si>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</si>
  <si>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</si>
  <si>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</si>
  <si>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</si>
  <si>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</si>
  <si>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</si>
  <si>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</si>
  <si>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</si>
  <si>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</si>
  <si>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</si>
  <si>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</si>
  <si>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</si>
  <si>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</si>
  <si>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</si>
  <si>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</si>
  <si>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</si>
  <si>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</si>
  <si>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</si>
  <si>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</si>
  <si>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</si>
  <si>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</si>
  <si>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</si>
  <si>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</si>
  <si>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</si>
  <si>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</si>
  <si>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</si>
  <si>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</si>
  <si>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</si>
  <si>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</si>
  <si>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</si>
  <si>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</si>
  <si>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</si>
  <si>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</si>
  <si>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</si>
  <si>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</si>
  <si>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</si>
  <si>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</si>
  <si>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</si>
  <si>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</si>
  <si>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</si>
  <si>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</si>
  <si>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</si>
  <si>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</si>
  <si>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</si>
  <si>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</si>
  <si>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</si>
  <si>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</si>
  <si>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</si>
  <si>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</si>
  <si>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</si>
  <si>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</si>
  <si>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</si>
  <si>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</si>
  <si>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</si>
  <si>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</si>
  <si>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</si>
  <si>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</si>
  <si>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</si>
  <si>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</si>
  <si>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</si>
  <si>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</si>
  <si>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</si>
  <si>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</si>
  <si>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</si>
  <si>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</si>
  <si>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</si>
  <si>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</si>
  <si>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</si>
  <si>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</si>
  <si>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</si>
  <si>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</si>
  <si>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</si>
  <si>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</si>
  <si>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</si>
  <si>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</si>
  <si>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</si>
  <si>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</si>
  <si>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</si>
  <si>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</si>
  <si>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</si>
  <si>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</si>
  <si>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</si>
  <si>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</si>
  <si>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</si>
  <si>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</si>
  <si>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</si>
  <si>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</si>
  <si>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</si>
  <si>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</si>
  <si>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</si>
  <si>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</si>
  <si>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</si>
  <si>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</si>
  <si>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</si>
  <si>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</si>
  <si>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</si>
  <si>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</si>
  <si>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</si>
  <si>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</si>
  <si>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</si>
  <si>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</si>
  <si>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</si>
  <si>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</si>
  <si>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</si>
  <si>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</si>
  <si>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</si>
  <si>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</si>
  <si>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</si>
  <si>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</si>
  <si>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</si>
  <si>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</si>
  <si>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</si>
  <si>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</si>
  <si>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</si>
  <si>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</si>
  <si>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</si>
  <si>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</si>
  <si>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</si>
  <si>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</si>
  <si>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</si>
  <si>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</si>
  <si>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</si>
  <si>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</si>
  <si>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</si>
  <si>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</si>
  <si>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</si>
  <si>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</si>
  <si>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</si>
  <si>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</si>
  <si>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</si>
  <si>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</si>
  <si>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</si>
  <si>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</si>
  <si>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</si>
  <si>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</si>
  <si>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</si>
  <si>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</si>
  <si>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</si>
  <si>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</si>
  <si>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</si>
  <si>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</si>
  <si>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</si>
  <si>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</si>
  <si>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</si>
  <si>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</si>
  <si>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</si>
  <si>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</si>
  <si>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</si>
  <si>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</si>
  <si>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</si>
  <si>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</si>
  <si>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</si>
  <si>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</si>
  <si>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</si>
  <si>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</si>
  <si>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</si>
  <si>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</si>
  <si>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</si>
  <si>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</si>
  <si>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</si>
  <si>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</si>
  <si>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</si>
  <si>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</si>
  <si>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</si>
  <si>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</si>
  <si>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</si>
  <si>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</si>
  <si>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</si>
  <si>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</si>
  <si>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</si>
  <si>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</si>
  <si>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</si>
  <si>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</si>
  <si>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</si>
  <si>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</si>
  <si>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</si>
  <si>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</si>
  <si>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</si>
  <si>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</si>
  <si>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</si>
  <si>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</si>
  <si>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</si>
  <si>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</si>
  <si>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</si>
  <si>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</si>
  <si>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</si>
  <si>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</si>
  <si>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</si>
  <si>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</si>
  <si>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</si>
  <si>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</si>
  <si>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</si>
  <si>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</si>
  <si>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</si>
  <si>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</si>
  <si>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</si>
  <si>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</si>
  <si>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</si>
  <si>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</si>
  <si>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</si>
  <si>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</si>
  <si>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</si>
  <si>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</si>
  <si>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</si>
  <si>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</si>
  <si>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</si>
  <si>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</si>
  <si>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</si>
  <si>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</si>
  <si>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</si>
  <si>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</si>
  <si>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</si>
  <si>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</si>
  <si>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</si>
  <si>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</si>
  <si>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</si>
  <si>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</si>
  <si>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</si>
  <si>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</si>
  <si>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</si>
  <si>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</si>
  <si>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</si>
  <si>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</si>
  <si>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</si>
  <si>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</si>
  <si>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</si>
  <si>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</si>
  <si>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</si>
  <si>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</si>
  <si>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</si>
  <si>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</si>
  <si>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</si>
  <si>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</si>
  <si>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</si>
  <si>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</si>
  <si>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</si>
  <si>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</si>
  <si>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</si>
  <si>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</si>
  <si>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</si>
  <si>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</si>
  <si>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</si>
  <si>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</si>
  <si>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</si>
  <si>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</si>
  <si>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</si>
  <si>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</si>
  <si>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</si>
  <si>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</si>
  <si>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</si>
  <si>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</si>
  <si>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</si>
  <si>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</si>
  <si>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</si>
  <si>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</si>
  <si>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</si>
  <si>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</si>
  <si>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</si>
  <si>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</si>
  <si>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</si>
  <si>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</si>
  <si>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</si>
  <si>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</si>
  <si>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</si>
  <si>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</si>
  <si>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</si>
  <si>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</si>
  <si>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</si>
  <si>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</si>
  <si>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</si>
  <si>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</si>
  <si>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</si>
  <si>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</si>
  <si>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</si>
  <si>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</si>
  <si>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</si>
  <si>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</si>
  <si>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</si>
  <si>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</si>
  <si>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</si>
  <si>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</si>
  <si>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</si>
  <si>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</si>
  <si>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</si>
  <si>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</si>
  <si>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</si>
  <si>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</si>
  <si>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</si>
  <si>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</si>
  <si>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</si>
  <si>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</si>
  <si>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</si>
  <si>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</si>
  <si>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</si>
  <si>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</si>
  <si>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</si>
  <si>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</si>
  <si>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</si>
  <si>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</si>
  <si>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</si>
  <si>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</si>
  <si>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</si>
  <si>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</si>
  <si>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</si>
  <si>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</si>
  <si>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</si>
  <si>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</si>
  <si>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</si>
  <si>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</si>
  <si>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</si>
  <si>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</si>
  <si>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</si>
  <si>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</si>
  <si>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</si>
  <si>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</si>
  <si>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</si>
  <si>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</si>
  <si>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</si>
  <si>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</si>
  <si>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</si>
  <si>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</si>
  <si>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</si>
  <si>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</si>
  <si>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</si>
  <si>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</si>
  <si>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</si>
  <si>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</si>
  <si>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</si>
  <si>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</si>
  <si>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</si>
  <si>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</si>
  <si>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</si>
  <si>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</si>
  <si>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</si>
  <si>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</si>
  <si>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</si>
  <si>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</si>
  <si>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</si>
  <si>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</si>
  <si>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</si>
  <si>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</si>
  <si>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</si>
  <si>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</si>
  <si>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</si>
  <si>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</si>
  <si>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</si>
  <si>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</si>
  <si>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</si>
  <si>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</si>
  <si>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</si>
  <si>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</si>
  <si>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</si>
  <si>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</si>
  <si>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</si>
  <si>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</si>
  <si>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</si>
  <si>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</si>
  <si>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</si>
  <si>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</si>
  <si>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</si>
  <si>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</si>
  <si>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</si>
  <si>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</si>
  <si>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</si>
  <si>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</si>
  <si>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</si>
  <si>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</si>
  <si>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</si>
  <si>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</si>
  <si>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</si>
  <si>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</si>
  <si>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</si>
  <si>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</si>
  <si>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</si>
  <si>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</si>
  <si>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</si>
  <si>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</si>
  <si>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</si>
  <si>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</si>
  <si>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</si>
  <si>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</si>
  <si>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</si>
  <si>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</si>
  <si>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</si>
  <si>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</si>
  <si>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</si>
  <si>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</si>
  <si>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</si>
  <si>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</si>
  <si>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</si>
  <si>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</si>
  <si>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</si>
  <si>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</si>
  <si>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</si>
  <si>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</si>
  <si>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</si>
  <si>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</si>
  <si>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</si>
  <si>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</si>
  <si>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</si>
  <si>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</si>
  <si>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</si>
  <si>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</si>
  <si>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</si>
  <si>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</si>
  <si>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</si>
  <si>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</si>
  <si>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</si>
  <si>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</si>
  <si>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</si>
  <si>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</si>
  <si>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</si>
  <si>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</si>
  <si>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</si>
  <si>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</si>
  <si>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</si>
  <si>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</si>
  <si>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</si>
  <si>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</si>
  <si>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</si>
  <si>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</si>
  <si>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</si>
  <si>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</si>
  <si>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</si>
  <si>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</si>
  <si>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</si>
  <si>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</si>
  <si>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</si>
  <si>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</si>
  <si>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</si>
  <si>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</si>
  <si>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</si>
  <si>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</si>
  <si>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</si>
  <si>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</si>
  <si>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</si>
  <si>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</si>
  <si>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</si>
  <si>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</si>
  <si>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</si>
  <si>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</si>
  <si>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</si>
  <si>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</si>
  <si>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</si>
  <si>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</si>
  <si>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</si>
  <si>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</si>
  <si>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</si>
  <si>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</si>
  <si>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</si>
  <si>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</si>
  <si>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</si>
  <si>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</si>
  <si>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</si>
  <si>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</si>
  <si>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</si>
  <si>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</si>
  <si>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</si>
  <si>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</si>
  <si>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</si>
  <si>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</si>
  <si>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</si>
  <si>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</si>
  <si>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</si>
  <si>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</si>
  <si>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</si>
  <si>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</si>
  <si>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</si>
  <si>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</si>
  <si>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</si>
  <si>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</si>
  <si>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</si>
  <si>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</si>
  <si>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</si>
  <si>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</si>
  <si>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</si>
  <si>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</si>
  <si>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</si>
  <si>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</si>
  <si>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</si>
  <si>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</si>
  <si>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</si>
  <si>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</si>
  <si>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</si>
  <si>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</si>
  <si>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</si>
  <si>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</si>
  <si>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</si>
  <si>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</si>
  <si>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</si>
  <si>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</si>
  <si>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</si>
  <si>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</si>
  <si>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</si>
  <si>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</si>
  <si>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</si>
  <si>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</si>
  <si>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</si>
  <si>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</si>
  <si>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</si>
  <si>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</si>
  <si>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</si>
  <si>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</si>
  <si>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</si>
  <si>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</si>
  <si>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</si>
  <si>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</si>
  <si>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</si>
  <si>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</si>
  <si>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</si>
  <si>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</si>
  <si>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</si>
  <si>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</si>
  <si>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</si>
  <si>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</si>
  <si>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</si>
  <si>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</si>
  <si>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</si>
  <si>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</si>
  <si>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</si>
  <si>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</si>
  <si>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</si>
  <si>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</si>
  <si>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</si>
  <si>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</si>
  <si>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</si>
  <si>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</si>
  <si>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</si>
  <si>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</si>
  <si>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</si>
  <si>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</si>
  <si>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</si>
  <si>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</si>
  <si>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</si>
  <si>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</si>
  <si>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</si>
  <si>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</si>
  <si>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</si>
  <si>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</si>
  <si>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</si>
  <si>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</si>
  <si>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</si>
  <si>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</si>
  <si>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</si>
  <si>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</si>
  <si>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</si>
  <si>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</si>
  <si>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</si>
  <si>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</si>
  <si>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</si>
  <si>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</si>
  <si>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</si>
  <si>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</si>
  <si>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</si>
  <si>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</si>
  <si>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</si>
  <si>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</si>
  <si>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</si>
  <si>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</si>
  <si>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</si>
  <si>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</si>
  <si>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</si>
  <si>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</si>
  <si>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</si>
  <si>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</si>
  <si>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</si>
  <si>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</si>
  <si>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</si>
  <si>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</si>
  <si>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</si>
  <si>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</si>
  <si>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</si>
  <si>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</si>
  <si>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</si>
  <si>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</si>
  <si>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</si>
  <si>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</si>
  <si>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</si>
  <si>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</si>
  <si>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</si>
  <si>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</si>
  <si>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</si>
  <si>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</si>
  <si>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</si>
  <si>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</si>
  <si>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</si>
  <si>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</si>
  <si>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</si>
  <si>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</si>
  <si>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</si>
  <si>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</si>
  <si>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</si>
  <si>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</si>
  <si>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</si>
  <si>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</si>
  <si>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</si>
  <si>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</si>
  <si>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</si>
  <si>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</si>
  <si>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</si>
  <si>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</si>
  <si>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</si>
  <si>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</si>
  <si>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</si>
  <si>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</si>
  <si>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</si>
  <si>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</si>
  <si>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</si>
  <si>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</si>
  <si>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</si>
  <si>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</si>
  <si>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</si>
  <si>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</si>
  <si>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</si>
  <si>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</si>
  <si>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</si>
  <si>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</si>
  <si>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</si>
  <si>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</si>
  <si>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</si>
  <si>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</si>
  <si>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</si>
  <si>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</si>
  <si>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</si>
  <si>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</si>
  <si>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</si>
  <si>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</si>
  <si>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</si>
  <si>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</si>
  <si>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</si>
  <si>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</si>
  <si>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</si>
  <si>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</si>
  <si>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</si>
  <si>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</si>
  <si>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</si>
  <si>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</si>
  <si>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</si>
  <si>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</si>
  <si>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</si>
  <si>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</si>
  <si>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</si>
  <si>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</si>
  <si>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</si>
  <si>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</si>
  <si>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</si>
  <si>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</si>
  <si>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</si>
  <si>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</si>
  <si>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</si>
  <si>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</si>
  <si>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</si>
  <si>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</si>
  <si>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</si>
  <si>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</si>
  <si>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</si>
  <si>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</si>
  <si>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</si>
  <si>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</si>
  <si>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</si>
  <si>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</si>
  <si>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</si>
  <si>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</si>
  <si>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</si>
  <si>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</si>
  <si>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</si>
  <si>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</si>
  <si>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</si>
  <si>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</si>
  <si>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</si>
  <si>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</si>
  <si>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</si>
  <si>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</si>
  <si>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</si>
  <si>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</si>
  <si>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</si>
  <si>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</si>
  <si>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</si>
  <si>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</si>
  <si>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</si>
  <si>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</si>
  <si>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</si>
  <si>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</si>
  <si>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</si>
  <si>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</si>
  <si>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</si>
  <si>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</si>
  <si>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</si>
  <si>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</si>
  <si>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</si>
  <si>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</si>
  <si>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</si>
  <si>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</si>
  <si>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</si>
  <si>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</si>
  <si>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</si>
  <si>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</si>
  <si>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</si>
  <si>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</si>
  <si>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</si>
  <si>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</si>
  <si>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</si>
  <si>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</si>
  <si>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</si>
  <si>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</si>
  <si>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</si>
  <si>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</si>
  <si>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</si>
  <si>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</si>
  <si>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</si>
  <si>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</si>
  <si>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</si>
  <si>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</si>
  <si>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</si>
  <si>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</si>
  <si>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</si>
  <si>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</si>
  <si>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</si>
  <si>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</si>
  <si>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</si>
  <si>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</si>
  <si>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</si>
  <si>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</si>
  <si>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</si>
  <si>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</si>
  <si>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</si>
  <si>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</si>
  <si>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</si>
  <si>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</si>
  <si>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</si>
  <si>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</si>
  <si>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</si>
  <si>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</si>
  <si>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</si>
  <si>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</si>
  <si>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</si>
  <si>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</si>
  <si>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</si>
  <si>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</si>
  <si>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</si>
  <si>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</si>
  <si>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</si>
  <si>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</si>
  <si>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</si>
  <si>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</si>
  <si>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</si>
  <si>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</si>
  <si>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</si>
  <si>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</si>
  <si>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</si>
  <si>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</si>
  <si>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</si>
  <si>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</si>
  <si>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</si>
  <si>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</si>
  <si>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</si>
  <si>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</si>
  <si>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</si>
  <si>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</si>
  <si>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</si>
  <si>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</si>
  <si>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</si>
  <si>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</si>
  <si>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</si>
  <si>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</si>
  <si>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</si>
  <si>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</si>
  <si>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</si>
  <si>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</si>
  <si>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</si>
  <si>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</si>
  <si>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</si>
  <si>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</si>
  <si>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</si>
  <si>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</si>
  <si>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</si>
  <si>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</si>
  <si>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</si>
  <si>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</si>
  <si>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</si>
  <si>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</si>
  <si>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</si>
  <si>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</si>
  <si>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</si>
  <si>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</si>
  <si>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</si>
  <si>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</si>
  <si>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</si>
  <si>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</si>
  <si>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</si>
  <si>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</si>
  <si>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</si>
  <si>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</si>
  <si>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</si>
  <si>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</si>
  <si>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</si>
  <si>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</si>
  <si>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</si>
  <si>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</si>
  <si>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</si>
  <si>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</si>
  <si>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</si>
  <si>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</si>
  <si>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</si>
  <si>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</si>
  <si>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</si>
  <si>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</si>
  <si>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</si>
  <si>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</si>
  <si>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</si>
  <si>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</si>
  <si>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</si>
  <si>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</si>
  <si>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</si>
  <si>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</si>
  <si>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</si>
  <si>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</si>
  <si>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</si>
  <si>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</si>
  <si>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</si>
  <si>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</si>
  <si>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</si>
  <si>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</si>
  <si>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</si>
  <si>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</si>
  <si>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</si>
  <si>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</si>
  <si>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</si>
  <si>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</si>
  <si>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</si>
  <si>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</si>
  <si>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</si>
  <si>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</si>
  <si>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</si>
  <si>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</si>
  <si>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</si>
  <si>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</si>
  <si>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</si>
  <si>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</si>
  <si>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</si>
  <si>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</si>
  <si>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</si>
  <si>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</si>
  <si>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</si>
  <si>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</si>
  <si>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</si>
  <si>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</si>
  <si>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</si>
  <si>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</si>
  <si>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</si>
  <si>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</si>
  <si>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</si>
  <si>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</si>
  <si>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</si>
  <si>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</si>
  <si>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</si>
  <si>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</si>
  <si>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</si>
  <si>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</si>
  <si>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</si>
  <si>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</si>
  <si>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</si>
  <si>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</si>
  <si>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</si>
  <si>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</si>
  <si>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</si>
  <si>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</si>
  <si>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</si>
  <si>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</si>
  <si>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</si>
  <si>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</si>
  <si>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</si>
  <si>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</si>
  <si>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</si>
  <si>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</si>
  <si>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</si>
  <si>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</si>
  <si>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</si>
  <si>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</si>
  <si>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</si>
  <si>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</si>
  <si>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</si>
  <si>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</si>
  <si>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</si>
  <si>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</si>
  <si>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</si>
  <si>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</si>
  <si>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</si>
  <si>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</si>
  <si>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</si>
  <si>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</si>
  <si>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</si>
  <si>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</si>
  <si>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</si>
  <si>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</si>
  <si>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</si>
  <si>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</si>
  <si>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</si>
  <si>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</si>
  <si>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</si>
  <si>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</si>
  <si>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</si>
  <si>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</si>
  <si>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</si>
  <si>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</si>
  <si>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</si>
  <si>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</si>
  <si>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</si>
  <si>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</si>
  <si>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</si>
  <si>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</si>
  <si>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</si>
  <si>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</si>
  <si>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</si>
  <si>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</si>
  <si>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</si>
  <si>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</si>
  <si>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</si>
  <si>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</si>
  <si>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</si>
  <si>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</si>
  <si>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</si>
  <si>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</si>
  <si>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</si>
  <si>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</si>
  <si>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</si>
  <si>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</si>
  <si>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</si>
  <si>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</si>
  <si>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</si>
  <si>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</si>
  <si>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</si>
  <si>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</si>
  <si>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</si>
  <si>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</si>
  <si>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</si>
  <si>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</si>
  <si>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</si>
  <si>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</si>
  <si>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</si>
  <si>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</si>
  <si>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</si>
  <si>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</si>
  <si>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</si>
  <si>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</si>
  <si>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</si>
  <si>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</si>
  <si>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</si>
  <si>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</si>
  <si>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</si>
  <si>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</si>
  <si>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</si>
  <si>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</si>
  <si>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</si>
  <si>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</si>
  <si>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</si>
  <si>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</si>
  <si>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</si>
  <si>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</si>
  <si>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</si>
  <si>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</si>
  <si>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</si>
  <si>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</si>
  <si>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</si>
  <si>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</si>
  <si>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</si>
  <si>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</si>
  <si>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</si>
  <si>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</si>
  <si>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</si>
  <si>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</si>
  <si>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</si>
  <si>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</si>
  <si>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</si>
  <si>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</si>
  <si>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</si>
  <si>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</si>
  <si>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</si>
  <si>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</si>
  <si>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</si>
  <si>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</si>
  <si>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</si>
  <si>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</si>
  <si>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</si>
  <si>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</si>
  <si>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</si>
  <si>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</si>
  <si>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</si>
  <si>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</si>
  <si>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</si>
  <si>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</si>
  <si>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</si>
  <si>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</si>
  <si>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</si>
  <si>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</si>
  <si>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</si>
  <si>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</si>
  <si>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</si>
  <si>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</si>
  <si>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</si>
  <si>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</si>
  <si>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</si>
  <si>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</si>
  <si>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</si>
  <si>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</si>
  <si>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</si>
  <si>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</si>
  <si>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</si>
  <si>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</si>
  <si>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</si>
  <si>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</si>
  <si>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</si>
  <si>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</si>
  <si>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</si>
  <si>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</si>
  <si>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</si>
  <si>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</si>
  <si>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</si>
  <si>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</si>
  <si>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</si>
  <si>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</si>
  <si>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</si>
  <si>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</si>
  <si>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</si>
  <si>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</si>
  <si>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</si>
  <si>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</si>
  <si>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</si>
  <si>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</si>
  <si>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</si>
  <si>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</si>
  <si>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</si>
  <si>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</si>
  <si>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</si>
  <si>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</si>
  <si>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</si>
  <si>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</si>
  <si>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</si>
  <si>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</si>
  <si>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</si>
  <si>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</si>
  <si>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</si>
  <si>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</si>
  <si>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</si>
  <si>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</si>
  <si>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</si>
  <si>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</si>
  <si>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</si>
  <si>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</si>
  <si>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</si>
  <si>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</si>
  <si>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</si>
  <si>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</si>
  <si>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</si>
  <si>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</si>
  <si>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</si>
  <si>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</si>
  <si>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</si>
  <si>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</si>
  <si>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</si>
  <si>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</si>
  <si>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</si>
  <si>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</si>
  <si>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</si>
  <si>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</si>
  <si>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</si>
  <si>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</si>
  <si>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</si>
  <si>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</si>
  <si>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</si>
  <si>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</si>
  <si>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</si>
  <si>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</si>
  <si>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</si>
  <si>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</si>
  <si>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</si>
  <si>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</si>
  <si>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</si>
  <si>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</si>
  <si>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</si>
  <si>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</si>
  <si>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</si>
  <si>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</si>
  <si>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</si>
  <si>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</si>
  <si>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</si>
  <si>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</si>
  <si>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</si>
  <si>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</si>
  <si>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</si>
  <si>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</si>
  <si>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</si>
  <si>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</si>
  <si>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</si>
  <si>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</si>
  <si>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</si>
  <si>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</si>
  <si>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</si>
  <si>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</si>
  <si>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</si>
  <si>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</si>
  <si>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</si>
  <si>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</si>
  <si>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</si>
  <si>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</si>
  <si>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</si>
  <si>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</si>
  <si>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</si>
  <si>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</si>
  <si>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</si>
  <si>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</si>
  <si>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</si>
  <si>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</si>
  <si>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</si>
  <si>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</si>
  <si>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</si>
  <si>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</si>
  <si>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</si>
  <si>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</si>
  <si>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</si>
  <si>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</si>
  <si>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</si>
  <si>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</si>
  <si>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</si>
  <si>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</si>
  <si>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</si>
  <si>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</si>
  <si>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</si>
  <si>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</si>
  <si>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</si>
  <si>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</si>
  <si>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</si>
  <si>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</si>
  <si>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</si>
  <si>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</si>
  <si>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</si>
  <si>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</si>
  <si>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</si>
  <si>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</si>
  <si>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</si>
  <si>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</si>
  <si>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</si>
  <si>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</si>
  <si>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</si>
  <si>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</si>
  <si>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</si>
  <si>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</si>
  <si>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</si>
  <si>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</si>
  <si>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</si>
  <si>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</si>
  <si>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</si>
  <si>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</si>
  <si>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</si>
  <si>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</si>
  <si>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</si>
  <si>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</si>
  <si>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</si>
  <si>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</si>
  <si>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</si>
  <si>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</si>
  <si>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</si>
  <si>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</si>
  <si>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</si>
  <si>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</si>
  <si>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</si>
  <si>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</si>
  <si>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</si>
  <si>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</si>
  <si>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</si>
  <si>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</si>
  <si>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</si>
  <si>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</si>
  <si>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</si>
  <si>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</si>
  <si>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</si>
  <si>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</si>
  <si>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</si>
  <si>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</si>
  <si>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</si>
  <si>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</si>
  <si>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</si>
  <si>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</si>
  <si>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</si>
  <si>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</si>
  <si>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</si>
  <si>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</si>
  <si>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</si>
  <si>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</si>
  <si>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</si>
  <si>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</si>
  <si>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</si>
  <si>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</si>
  <si>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</si>
  <si>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</si>
  <si>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</si>
  <si>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</si>
  <si>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</si>
  <si>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</si>
  <si>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</si>
  <si>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</si>
  <si>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</si>
  <si>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</si>
  <si>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</si>
  <si>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</si>
  <si>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</si>
  <si>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</si>
  <si>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</si>
  <si>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</si>
  <si>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</si>
  <si>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</si>
  <si>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</si>
  <si>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</si>
  <si>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</si>
  <si>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</si>
  <si>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</si>
  <si>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</si>
  <si>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</si>
  <si>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</si>
  <si>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</si>
  <si>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</si>
  <si>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</si>
  <si>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</si>
  <si>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</si>
  <si>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</si>
  <si>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</si>
  <si>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</si>
  <si>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</si>
  <si>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</si>
  <si>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</si>
  <si>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</si>
  <si>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</si>
  <si>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</si>
  <si>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</si>
  <si>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</si>
  <si>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</si>
  <si>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</si>
  <si>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</si>
  <si>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</si>
  <si>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</si>
  <si>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</si>
  <si>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</si>
  <si>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</si>
  <si>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</si>
  <si>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</si>
  <si>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</si>
  <si>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</si>
  <si>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</si>
  <si>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</si>
  <si>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</si>
  <si>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</si>
  <si>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</si>
  <si>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</si>
  <si>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</si>
  <si>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</si>
  <si>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</si>
  <si>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</si>
  <si>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</si>
  <si>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</si>
  <si>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</si>
  <si>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</si>
  <si>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</si>
  <si>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</si>
  <si>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</si>
  <si>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</si>
  <si>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</si>
  <si>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</si>
  <si>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</si>
  <si>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</si>
  <si>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</si>
  <si>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</si>
  <si>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</si>
  <si>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</si>
  <si>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</si>
  <si>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</si>
  <si>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</si>
  <si>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</si>
  <si>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</si>
  <si>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</si>
  <si>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</si>
  <si>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</si>
  <si>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</si>
  <si>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</si>
  <si>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</si>
  <si>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</si>
  <si>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</si>
  <si>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</si>
  <si>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</si>
  <si>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</si>
  <si>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</si>
  <si>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</si>
  <si>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</si>
  <si>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</si>
  <si>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</si>
  <si>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</si>
  <si>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</si>
  <si>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</si>
  <si>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</si>
  <si>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</si>
  <si>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</si>
  <si>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</si>
  <si>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</si>
  <si>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</si>
  <si>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</si>
  <si>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</si>
  <si>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</si>
  <si>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</si>
  <si>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</si>
  <si>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</si>
  <si>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</si>
  <si>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</si>
  <si>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</si>
  <si>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</si>
  <si>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</si>
  <si>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</si>
  <si>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</si>
  <si>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</si>
  <si>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</si>
  <si>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</si>
  <si>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</si>
  <si>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</si>
  <si>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</si>
  <si>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</si>
  <si>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</si>
  <si>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</si>
  <si>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</si>
  <si>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</si>
  <si>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</si>
  <si>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</si>
  <si>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</si>
  <si>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</si>
  <si>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</si>
  <si>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</si>
  <si>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</si>
  <si>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</si>
  <si>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</si>
  <si>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</si>
  <si>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</si>
  <si>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</si>
  <si>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</si>
  <si>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</si>
  <si>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</si>
  <si>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</si>
  <si>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</si>
  <si>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</si>
  <si>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</si>
  <si>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</si>
  <si>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</si>
  <si>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</si>
  <si>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</si>
  <si>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</si>
  <si>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</si>
  <si>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</si>
  <si>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</si>
  <si>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</si>
  <si>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</si>
  <si>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</si>
  <si>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</si>
  <si>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</si>
  <si>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</si>
  <si>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</si>
  <si>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</si>
  <si>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</si>
  <si>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</si>
  <si>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</si>
  <si>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</si>
  <si>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</si>
  <si>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</si>
  <si>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</si>
  <si>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</si>
  <si>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</si>
  <si>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</si>
  <si>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</si>
  <si>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</si>
  <si>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</si>
  <si>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</si>
  <si>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</si>
  <si>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</si>
  <si>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</si>
  <si>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</si>
  <si>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</si>
  <si>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</si>
  <si>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</si>
  <si>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</si>
  <si>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</si>
  <si>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</si>
  <si>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</si>
  <si>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</si>
  <si>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</si>
  <si>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</si>
  <si>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</si>
  <si>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</si>
  <si>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</si>
  <si>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</si>
  <si>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</si>
  <si>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</si>
  <si>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</si>
  <si>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</si>
  <si>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</si>
  <si>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</si>
  <si>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</si>
  <si>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</si>
  <si>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</si>
  <si>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</si>
  <si>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</si>
  <si>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</si>
  <si>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</si>
  <si>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</si>
  <si>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</si>
  <si>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</si>
  <si>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</si>
  <si>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</si>
  <si>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</si>
  <si>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</si>
  <si>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</si>
  <si>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</si>
  <si>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</si>
  <si>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</si>
  <si>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</si>
  <si>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</si>
  <si>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</si>
  <si>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</si>
  <si>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</si>
  <si>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</si>
  <si>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</si>
  <si>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</si>
  <si>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</si>
  <si>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</si>
  <si>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</si>
  <si>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</si>
  <si>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</si>
  <si>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</si>
  <si>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</si>
  <si>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</si>
  <si>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</si>
  <si>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</si>
  <si>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</si>
  <si>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</si>
  <si>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</si>
  <si>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</si>
  <si>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</si>
  <si>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</si>
  <si>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</si>
  <si>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</si>
  <si>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</si>
  <si>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</si>
  <si>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</si>
  <si>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</si>
  <si>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</si>
  <si>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</si>
  <si>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</si>
  <si>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</si>
  <si>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</si>
  <si>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</si>
  <si>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</si>
  <si>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</si>
  <si>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</si>
  <si>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</si>
  <si>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</si>
  <si>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</si>
  <si>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</si>
  <si>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</si>
  <si>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</si>
  <si>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</si>
  <si>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</si>
  <si>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</si>
  <si>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</si>
  <si>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</si>
  <si>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</si>
  <si>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</si>
  <si>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</si>
  <si>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</si>
  <si>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</si>
  <si>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</si>
  <si>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</si>
  <si>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</si>
  <si>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</si>
  <si>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</si>
  <si>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</si>
  <si>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</si>
  <si>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</si>
  <si>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</si>
  <si>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</si>
  <si>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</si>
  <si>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</si>
  <si>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</si>
  <si>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</si>
  <si>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</si>
  <si>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</si>
  <si>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</si>
  <si>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</si>
  <si>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</si>
  <si>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</si>
  <si>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</si>
  <si>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</si>
  <si>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</si>
  <si>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</si>
  <si>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</si>
  <si>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</si>
  <si>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</si>
  <si>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</si>
  <si>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</si>
  <si>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</si>
  <si>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</si>
  <si>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</si>
  <si>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</si>
  <si>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</si>
  <si>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</si>
  <si>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</si>
  <si>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</si>
  <si>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</si>
  <si>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</si>
  <si>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</si>
  <si>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</si>
  <si>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</si>
  <si>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</si>
  <si>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</si>
  <si>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</si>
  <si>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</si>
  <si>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</si>
  <si>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</si>
  <si>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</si>
  <si>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</si>
  <si>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</si>
  <si>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</si>
  <si>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</si>
  <si>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</si>
  <si>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</si>
  <si>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</si>
  <si>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</si>
  <si>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</si>
  <si>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</si>
  <si>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</si>
  <si>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</si>
  <si>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</si>
  <si>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</si>
  <si>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</si>
  <si>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</si>
  <si>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</si>
  <si>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</si>
  <si>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</si>
  <si>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</si>
  <si>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</si>
  <si>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</si>
  <si>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</si>
  <si>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</si>
  <si>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</si>
  <si>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</si>
  <si>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</si>
  <si>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</si>
  <si>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</si>
  <si>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</si>
  <si>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</si>
  <si>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</si>
  <si>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</si>
  <si>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</si>
  <si>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</si>
  <si>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</si>
  <si>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</si>
  <si>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</si>
  <si>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</si>
  <si>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</si>
  <si>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</si>
  <si>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</si>
  <si>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</si>
  <si>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</si>
  <si>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</si>
  <si>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</si>
  <si>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</si>
  <si>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</si>
  <si>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</si>
  <si>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</si>
  <si>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</si>
  <si>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</si>
  <si>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</si>
  <si>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</si>
  <si>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</si>
  <si>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</si>
  <si>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</si>
  <si>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</si>
  <si>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</si>
  <si>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</si>
  <si>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</si>
  <si>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</si>
  <si>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</si>
  <si>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</si>
  <si>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</si>
  <si>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</si>
  <si>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</si>
  <si>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</si>
  <si>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</si>
  <si>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</si>
  <si>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</si>
  <si>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</si>
  <si>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</si>
  <si>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</si>
  <si>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</si>
  <si>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</si>
  <si>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</si>
  <si>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</si>
  <si>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</si>
  <si>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</si>
  <si>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</si>
  <si>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</si>
  <si>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</si>
  <si>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</si>
  <si>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</si>
  <si>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</si>
  <si>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</si>
  <si>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</si>
  <si>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</si>
  <si>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</si>
  <si>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</si>
  <si>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</si>
  <si>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</si>
  <si>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</si>
  <si>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</si>
  <si>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</si>
  <si>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</si>
  <si>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</si>
  <si>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</si>
  <si>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</si>
  <si>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</si>
  <si>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</si>
  <si>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</si>
  <si>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</si>
  <si>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</si>
  <si>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</si>
  <si>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</si>
  <si>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</si>
  <si>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</si>
  <si>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</si>
  <si>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</si>
  <si>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</si>
  <si>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</si>
  <si>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</si>
  <si>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</si>
  <si>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</si>
  <si>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</si>
  <si>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</si>
  <si>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</si>
  <si>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</si>
  <si>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</si>
  <si>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</si>
  <si>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</si>
  <si>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</si>
  <si>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</si>
  <si>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</si>
  <si>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</si>
  <si>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</si>
  <si>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</si>
  <si>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</si>
  <si>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</si>
  <si>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</si>
  <si>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</si>
  <si>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</si>
  <si>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</si>
  <si>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</si>
  <si>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</si>
  <si>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</si>
  <si>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</si>
  <si>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</si>
  <si>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</si>
  <si>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</si>
  <si>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</si>
  <si>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</si>
  <si>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</si>
  <si>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</si>
  <si>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</si>
  <si>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</si>
  <si>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</si>
  <si>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</si>
  <si>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</si>
  <si>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</si>
  <si>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</si>
  <si>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</si>
  <si>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</si>
  <si>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</si>
  <si>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</si>
  <si>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</si>
  <si>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</si>
  <si>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</si>
  <si>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</si>
  <si>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</si>
  <si>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</si>
  <si>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</si>
  <si>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</si>
  <si>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</si>
  <si>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</si>
  <si>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</si>
  <si>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</si>
  <si>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</si>
  <si>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</si>
  <si>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</si>
  <si>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</si>
  <si>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</si>
  <si>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</si>
  <si>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</si>
  <si>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</si>
  <si>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</si>
  <si>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</si>
  <si>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</si>
  <si>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</si>
  <si>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</si>
  <si>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</si>
  <si>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</si>
  <si>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</si>
  <si>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</si>
  <si>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</si>
  <si>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</si>
  <si>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</si>
  <si>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</si>
  <si>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</si>
  <si>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</si>
  <si>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</si>
  <si>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</si>
  <si>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</si>
  <si>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</si>
  <si>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</si>
  <si>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</si>
  <si>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</si>
  <si>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</si>
  <si>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</si>
  <si>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</si>
  <si>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</si>
  <si>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</si>
  <si>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</si>
  <si>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</si>
  <si>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</si>
  <si>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</si>
  <si>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</si>
  <si>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</si>
  <si>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</si>
  <si>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</si>
  <si>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</si>
  <si>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</si>
  <si>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</si>
  <si>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</si>
  <si>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</si>
  <si>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</si>
  <si>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</si>
  <si>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</si>
  <si>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</si>
  <si>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</si>
  <si>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</si>
  <si>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</si>
  <si>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</si>
  <si>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</si>
  <si>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</si>
  <si>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</si>
  <si>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</si>
  <si>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</si>
  <si>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</si>
  <si>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</si>
  <si>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</si>
  <si>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</si>
  <si>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</si>
  <si>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</si>
  <si>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</si>
  <si>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</si>
  <si>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</si>
  <si>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</si>
  <si>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</si>
  <si>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</si>
  <si>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</si>
  <si>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</si>
  <si>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</si>
  <si>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</si>
  <si>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</si>
  <si>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</si>
  <si>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</si>
  <si>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</si>
  <si>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</si>
  <si>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</si>
  <si>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</si>
  <si>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</si>
  <si>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</si>
  <si>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</si>
  <si>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</si>
  <si>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</si>
  <si>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</si>
  <si>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</si>
  <si>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</si>
  <si>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</si>
  <si>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</si>
  <si>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</si>
  <si>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</si>
  <si>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</si>
  <si>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</si>
  <si>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</si>
  <si>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</si>
  <si>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</si>
  <si>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</si>
  <si>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</si>
  <si>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</si>
  <si>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</si>
  <si>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</si>
  <si>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</si>
  <si>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</si>
  <si>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</si>
  <si>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</si>
  <si>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</si>
  <si>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</si>
  <si>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</si>
  <si>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</si>
  <si>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</si>
  <si>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</si>
  <si>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</si>
  <si>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</si>
  <si>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</si>
  <si>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</si>
  <si>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</si>
  <si>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</si>
  <si>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</si>
  <si>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</si>
  <si>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</si>
  <si>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</si>
  <si>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</si>
  <si>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</si>
  <si>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</si>
  <si>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</si>
  <si>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</si>
  <si>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</si>
  <si>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</si>
  <si>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</si>
  <si>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</si>
  <si>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</si>
  <si>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</si>
  <si>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</si>
  <si>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</si>
  <si>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</si>
  <si>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</si>
  <si>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</si>
  <si>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</si>
  <si>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</si>
  <si>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</si>
  <si>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</si>
  <si>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</si>
  <si>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</si>
  <si>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</si>
  <si>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</si>
  <si>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</si>
  <si>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</si>
  <si>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</si>
  <si>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</si>
  <si>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</si>
  <si>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</si>
  <si>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</si>
  <si>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</si>
  <si>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</si>
  <si>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</si>
  <si>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</si>
  <si>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</si>
  <si>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</si>
  <si>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</si>
  <si>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</si>
  <si>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</si>
  <si>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</si>
  <si>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</si>
  <si>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</si>
  <si>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</si>
  <si>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</si>
  <si>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</si>
  <si>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</si>
  <si>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</si>
  <si>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</si>
  <si>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</si>
  <si>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</si>
  <si>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</si>
  <si>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</si>
  <si>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</si>
  <si>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</si>
  <si>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</si>
  <si>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</si>
  <si>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</si>
  <si>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</si>
  <si>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</si>
  <si>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</si>
  <si>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</si>
  <si>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</si>
  <si>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</si>
  <si>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</si>
  <si>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</si>
  <si>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</si>
  <si>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</si>
  <si>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</si>
  <si>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</si>
  <si>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</si>
  <si>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</si>
  <si>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</si>
  <si>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</si>
  <si>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</si>
  <si>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</si>
  <si>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</si>
  <si>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</si>
  <si>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</si>
  <si>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</si>
  <si>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</si>
  <si>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</si>
  <si>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</si>
  <si>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</si>
  <si>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</si>
  <si>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</si>
  <si>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</si>
  <si>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</si>
  <si>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</si>
  <si>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</si>
  <si>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</si>
  <si>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</si>
  <si>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</si>
  <si>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</si>
  <si>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</si>
  <si>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</si>
  <si>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</si>
  <si>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</si>
  <si>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</si>
  <si>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</si>
  <si>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</si>
  <si>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</si>
  <si>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</si>
  <si>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</si>
  <si>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</si>
  <si>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</si>
  <si>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</si>
  <si>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</si>
  <si>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</si>
  <si>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</si>
  <si>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</si>
  <si>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</si>
  <si>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</si>
  <si>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</si>
  <si>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</si>
  <si>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</si>
  <si>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</si>
  <si>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</si>
  <si>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</si>
  <si>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</si>
  <si>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</si>
  <si>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</si>
  <si>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</si>
  <si>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</si>
  <si>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</si>
  <si>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</si>
  <si>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</si>
  <si>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</si>
  <si>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</si>
  <si>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</si>
  <si>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</si>
  <si>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</si>
  <si>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</si>
  <si>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</si>
  <si>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</si>
  <si>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</si>
  <si>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</si>
  <si>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</si>
  <si>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</si>
  <si>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</si>
  <si>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</si>
  <si>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</si>
  <si>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</si>
  <si>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</si>
  <si>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</si>
  <si>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</si>
  <si>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</si>
  <si>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</si>
  <si>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</si>
  <si>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</si>
  <si>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</si>
  <si>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</si>
  <si>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</si>
  <si>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</si>
  <si>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</si>
  <si>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</si>
  <si>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</si>
  <si>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</si>
  <si>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</si>
  <si>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</si>
  <si>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</si>
  <si>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</si>
  <si>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</si>
  <si>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</si>
  <si>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</si>
  <si>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</si>
  <si>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</si>
  <si>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</si>
  <si>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</si>
  <si>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</si>
  <si>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</si>
  <si>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</si>
  <si>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</si>
  <si>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</si>
  <si>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</si>
  <si>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</si>
  <si>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</si>
  <si>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</si>
  <si>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</si>
  <si>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</si>
  <si>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</si>
  <si>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</si>
  <si>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</si>
  <si>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</si>
  <si>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</si>
  <si>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</si>
  <si>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</si>
  <si>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</si>
  <si>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</si>
  <si>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</si>
  <si>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</si>
  <si>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</si>
  <si>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</si>
  <si>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</si>
  <si>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</si>
  <si>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</si>
  <si>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</si>
  <si>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</si>
  <si>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</si>
  <si>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</si>
  <si>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</si>
  <si>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</si>
  <si>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</si>
  <si>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</si>
  <si>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</si>
  <si>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</si>
  <si>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</si>
  <si>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</si>
  <si>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</si>
  <si>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</si>
  <si>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</si>
  <si>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</si>
  <si>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</si>
  <si>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</si>
  <si>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</si>
  <si>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</si>
  <si>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</si>
  <si>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</si>
  <si>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</si>
  <si>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</si>
  <si>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</si>
  <si>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</si>
  <si>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</si>
  <si>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</si>
  <si>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</si>
  <si>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</si>
  <si>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</si>
  <si>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</si>
  <si>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</si>
  <si>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</si>
  <si>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</si>
  <si>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</si>
  <si>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</si>
  <si>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</si>
  <si>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</si>
  <si>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</si>
  <si>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</si>
  <si>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</si>
  <si>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</si>
  <si>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</si>
  <si>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</si>
  <si>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</si>
  <si>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</si>
  <si>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</si>
  <si>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</si>
  <si>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</si>
  <si>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</si>
  <si>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</si>
  <si>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</si>
  <si>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</si>
  <si>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</si>
  <si>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</si>
  <si>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</si>
  <si>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</si>
  <si>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</si>
  <si>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</si>
  <si>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</si>
  <si>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</si>
  <si>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</si>
  <si>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</si>
  <si>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</si>
  <si>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</si>
  <si>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</si>
  <si>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</si>
  <si>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</si>
  <si>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</si>
  <si>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</si>
  <si>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</si>
  <si>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</si>
  <si>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</si>
  <si>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</si>
  <si>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</si>
  <si>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</si>
  <si>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</si>
  <si>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</si>
  <si>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</si>
  <si>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</si>
  <si>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</si>
  <si>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</si>
  <si>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</si>
  <si>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</si>
  <si>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</si>
  <si>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</si>
  <si>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</si>
  <si>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</si>
  <si>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</si>
  <si>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</si>
  <si>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</si>
  <si>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</si>
  <si>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</si>
  <si>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</si>
  <si>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</si>
  <si>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</si>
  <si>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</si>
  <si>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</si>
  <si>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</si>
  <si>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</si>
  <si>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</si>
  <si>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</si>
  <si>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</si>
  <si>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</si>
  <si>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</si>
  <si>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</si>
  <si>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</si>
  <si>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</si>
  <si>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</si>
  <si>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</si>
  <si>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</si>
  <si>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</si>
  <si>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</si>
  <si>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</si>
  <si>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</si>
  <si>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</si>
  <si>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</si>
  <si>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</si>
  <si>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</si>
  <si>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</si>
  <si>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</si>
  <si>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</si>
  <si>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</si>
  <si>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</si>
  <si>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</si>
  <si>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</si>
  <si>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</si>
  <si>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</si>
  <si>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</si>
  <si>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</si>
  <si>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</si>
  <si>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</si>
  <si>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</si>
  <si>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</si>
  <si>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</si>
  <si>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</si>
  <si>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</si>
  <si>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</si>
  <si>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</si>
  <si>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</si>
  <si>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</si>
  <si>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</si>
  <si>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</si>
  <si>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</si>
  <si>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</si>
  <si>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</si>
  <si>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</si>
  <si>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</si>
  <si>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</si>
  <si>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</si>
  <si>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</si>
  <si>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</si>
  <si>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</si>
  <si>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</si>
  <si>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</si>
  <si>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</si>
  <si>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</si>
  <si>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</si>
  <si>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</si>
  <si>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</si>
  <si>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</si>
  <si>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</si>
  <si>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</si>
  <si>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</si>
  <si>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</si>
  <si>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</si>
  <si>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</si>
  <si>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</si>
  <si>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</si>
  <si>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</si>
  <si>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</si>
  <si>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</si>
  <si>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</si>
  <si>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</si>
  <si>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</si>
  <si>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</si>
  <si>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</si>
  <si>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</si>
  <si>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</si>
  <si>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</si>
  <si>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</si>
  <si>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</si>
  <si>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</si>
  <si>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</si>
  <si>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</si>
  <si>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</si>
  <si>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</si>
  <si>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</si>
  <si>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</si>
  <si>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</si>
  <si>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</si>
  <si>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</si>
  <si>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</si>
  <si>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</si>
  <si>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</si>
  <si>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</si>
  <si>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</si>
  <si>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</si>
  <si>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</si>
  <si>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</si>
  <si>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</si>
  <si>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</si>
  <si>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</si>
  <si>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</si>
  <si>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</si>
  <si>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</si>
  <si>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</si>
  <si>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</si>
  <si>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</si>
  <si>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</si>
  <si>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</si>
  <si>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</si>
  <si>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</si>
  <si>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</si>
  <si>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</si>
  <si>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</si>
  <si>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</si>
  <si>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</si>
  <si>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</si>
  <si>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</si>
  <si>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</si>
  <si>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</si>
  <si>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</si>
  <si>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</si>
  <si>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</si>
  <si>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</si>
  <si>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</si>
  <si>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</si>
  <si>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</si>
  <si>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</si>
  <si>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</si>
  <si>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</si>
  <si>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</si>
  <si>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</si>
  <si>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</si>
  <si>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</si>
  <si>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</si>
  <si>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</si>
  <si>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</si>
  <si>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</si>
  <si>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</si>
  <si>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</si>
  <si>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</si>
  <si>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</si>
  <si>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</si>
  <si>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</si>
  <si>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</si>
  <si>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</si>
  <si>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</si>
  <si>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</si>
  <si>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</si>
  <si>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</si>
  <si>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</si>
  <si>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</si>
  <si>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</si>
  <si>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</si>
  <si>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</si>
  <si>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</si>
  <si>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</si>
  <si>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</si>
  <si>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</si>
  <si>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</si>
  <si>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</si>
  <si>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</si>
  <si>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</si>
  <si>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</si>
  <si>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</si>
  <si>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</si>
  <si>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</si>
  <si>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</si>
  <si>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</si>
  <si>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</si>
  <si>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</si>
  <si>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</si>
  <si>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</si>
  <si>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</si>
  <si>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</si>
  <si>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</si>
  <si>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</si>
  <si>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</si>
  <si>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</si>
  <si>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</si>
  <si>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</si>
  <si>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</si>
  <si>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</si>
  <si>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</si>
  <si>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</si>
  <si>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</si>
  <si>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</si>
  <si>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</si>
  <si>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</si>
  <si>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</si>
  <si>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</si>
  <si>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</si>
  <si>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</si>
  <si>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</si>
  <si>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</si>
  <si>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</si>
  <si>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</si>
  <si>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</si>
  <si>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</si>
  <si>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</si>
  <si>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</si>
  <si>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</si>
  <si>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</si>
  <si>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</si>
  <si>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</si>
  <si>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</si>
  <si>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</si>
  <si>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</si>
  <si>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</si>
  <si>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</si>
  <si>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</si>
  <si>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</si>
  <si>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</si>
  <si>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</si>
  <si>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</si>
  <si>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</si>
  <si>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</si>
  <si>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</si>
  <si>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</si>
  <si>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</si>
  <si>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</si>
  <si>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</si>
  <si>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</si>
  <si>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</si>
  <si>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</si>
  <si>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</si>
  <si>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</si>
  <si>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</si>
  <si>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</si>
  <si>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</si>
  <si>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</si>
  <si>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</si>
  <si>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</si>
  <si>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</si>
  <si>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</si>
  <si>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</si>
  <si>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</si>
  <si>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</si>
  <si>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</si>
  <si>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</si>
  <si>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</si>
  <si>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</si>
  <si>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</si>
  <si>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</si>
  <si>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</si>
  <si>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</si>
  <si>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</si>
  <si>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</si>
  <si>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</si>
  <si>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</si>
  <si>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</si>
  <si>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</si>
  <si>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</si>
  <si>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</si>
  <si>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</si>
  <si>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</si>
  <si>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</si>
  <si>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</si>
  <si>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</si>
  <si>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</si>
  <si>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</si>
  <si>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</si>
  <si>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</si>
  <si>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</si>
  <si>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</si>
  <si>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</si>
  <si>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</si>
  <si>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</si>
  <si>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</si>
  <si>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</si>
  <si>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</si>
  <si>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</si>
  <si>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</si>
  <si>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</si>
  <si>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</si>
  <si>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</si>
  <si>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</si>
  <si>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</si>
  <si>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</si>
  <si>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</si>
  <si>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</si>
  <si>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</si>
  <si>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</si>
  <si>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</si>
  <si>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</si>
  <si>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</si>
  <si>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</si>
  <si>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</si>
  <si>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</si>
  <si>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</si>
  <si>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</si>
  <si>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</si>
  <si>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</si>
  <si>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</si>
  <si>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</si>
  <si>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</si>
  <si>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</si>
  <si>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</si>
  <si>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</si>
  <si>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</si>
  <si>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</si>
  <si>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</si>
  <si>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</si>
  <si>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</si>
  <si>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</si>
  <si>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</si>
  <si>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</si>
  <si>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</si>
  <si>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</si>
  <si>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</si>
  <si>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</si>
  <si>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</si>
  <si>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</si>
  <si>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</si>
  <si>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</si>
  <si>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</si>
  <si>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</si>
  <si>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</si>
  <si>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</si>
  <si>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</si>
  <si>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</si>
  <si>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</si>
  <si>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</si>
  <si>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</si>
  <si>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</si>
  <si>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</si>
  <si>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</si>
  <si>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</si>
  <si>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</si>
  <si>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</si>
  <si>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</si>
  <si>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</si>
  <si>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</si>
  <si>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</si>
  <si>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</si>
  <si>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</si>
  <si>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</si>
  <si>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</si>
  <si>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</si>
  <si>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</si>
  <si>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</si>
  <si>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</si>
  <si>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</si>
  <si>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</si>
  <si>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</si>
  <si>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</si>
  <si>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</si>
  <si>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</si>
  <si>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</si>
  <si>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</si>
  <si>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</si>
  <si>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</si>
  <si>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</si>
  <si>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</si>
  <si>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</si>
  <si>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</si>
  <si>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</si>
  <si>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</si>
  <si>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</si>
  <si>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</si>
  <si>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</si>
  <si>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</si>
  <si>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</si>
  <si>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</si>
  <si>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</si>
  <si>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</si>
  <si>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</si>
  <si>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</si>
  <si>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</si>
  <si>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</si>
  <si>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</si>
  <si>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</si>
  <si>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</si>
  <si>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</si>
  <si>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</si>
  <si>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</si>
  <si>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</si>
  <si>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</si>
  <si>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</si>
  <si>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</si>
  <si>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</si>
  <si>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</si>
  <si>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</si>
  <si>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</si>
  <si>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</si>
  <si>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</si>
  <si>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</si>
  <si>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</si>
  <si>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</si>
  <si>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</si>
  <si>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</si>
  <si>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</si>
  <si>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</si>
  <si>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</si>
  <si>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</si>
  <si>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</si>
  <si>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</si>
  <si>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</si>
  <si>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</si>
  <si>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</si>
  <si>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</si>
  <si>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</si>
  <si>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</si>
  <si>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</si>
  <si>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</si>
  <si>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</si>
  <si>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</si>
  <si>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</si>
  <si>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</si>
  <si>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</si>
  <si>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</si>
  <si>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</si>
  <si>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</si>
  <si>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</si>
  <si>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</si>
  <si>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</si>
  <si>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</si>
  <si>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</si>
  <si>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</si>
  <si>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</si>
  <si>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</si>
  <si>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</si>
  <si>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</si>
  <si>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</si>
  <si>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</si>
  <si>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</si>
  <si>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</si>
  <si>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</si>
  <si>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</si>
  <si>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</si>
  <si>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</si>
  <si>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</si>
  <si>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</si>
  <si>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</si>
  <si>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</si>
  <si>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</si>
  <si>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</si>
  <si>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</si>
  <si>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</si>
  <si>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</si>
  <si>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</si>
  <si>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</si>
  <si>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</si>
  <si>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</si>
  <si>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</si>
  <si>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</si>
  <si>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</si>
  <si>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</si>
  <si>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</si>
  <si>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</si>
  <si>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</si>
  <si>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</si>
  <si>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</si>
  <si>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</si>
  <si>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</si>
  <si>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</si>
  <si>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</si>
  <si>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</si>
  <si>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</si>
  <si>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</si>
  <si>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</si>
  <si>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</si>
  <si>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</si>
  <si>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</si>
  <si>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</si>
  <si>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</si>
  <si>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</si>
  <si>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</si>
  <si>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</si>
  <si>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</si>
  <si>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</si>
  <si>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</si>
  <si>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</si>
  <si>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</si>
  <si>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</si>
  <si>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</si>
  <si>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</si>
  <si>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</si>
  <si>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</si>
  <si>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</si>
  <si>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</si>
  <si>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</si>
  <si>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</si>
  <si>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</si>
  <si>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</si>
  <si>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</si>
  <si>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</si>
  <si>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</si>
  <si>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</si>
  <si>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</si>
  <si>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</si>
  <si>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</si>
  <si>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</si>
  <si>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</si>
  <si>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</si>
  <si>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</si>
  <si>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</si>
  <si>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</si>
  <si>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</si>
  <si>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</si>
  <si>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</si>
  <si>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</si>
  <si>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</si>
  <si>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</si>
  <si>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</si>
  <si>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</si>
  <si>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</si>
  <si>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</si>
  <si>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</si>
  <si>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</si>
  <si>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</si>
  <si>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</si>
  <si>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</si>
  <si>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</si>
  <si>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</si>
  <si>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</si>
  <si>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</si>
  <si>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</si>
  <si>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</si>
  <si>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</si>
  <si>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</si>
  <si>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</si>
  <si>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</si>
  <si>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</si>
  <si>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</si>
  <si>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</si>
  <si>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</si>
  <si>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</si>
  <si>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</si>
  <si>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</si>
  <si>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</si>
  <si>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</si>
  <si>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</si>
  <si>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</si>
  <si>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</si>
  <si>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</si>
  <si>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</si>
  <si>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</si>
  <si>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</si>
  <si>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</si>
  <si>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</si>
  <si>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</si>
  <si>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</si>
  <si>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</si>
  <si>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</si>
  <si>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</si>
  <si>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</si>
  <si>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</si>
  <si>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</si>
  <si>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</si>
  <si>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</si>
  <si>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</si>
  <si>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</si>
  <si>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</si>
  <si>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</si>
  <si>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</si>
  <si>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</si>
  <si>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</si>
  <si>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</si>
  <si>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</si>
  <si>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</si>
  <si>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</si>
  <si>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</si>
  <si>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</si>
  <si>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</si>
  <si>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</si>
  <si>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</si>
  <si>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</si>
  <si>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</si>
  <si>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</si>
  <si>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</si>
  <si>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</si>
  <si>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</si>
  <si>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</si>
  <si>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</si>
  <si>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</si>
  <si>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</si>
  <si>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</si>
  <si>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</si>
  <si>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</si>
  <si>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</si>
  <si>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</si>
  <si>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</si>
  <si>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</si>
  <si>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</si>
  <si>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</si>
  <si>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</si>
  <si>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</si>
  <si>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</si>
  <si>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</si>
  <si>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</si>
  <si>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</si>
  <si>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</si>
  <si>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</si>
  <si>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</si>
  <si>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</si>
  <si>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</si>
  <si>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</si>
  <si>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</si>
  <si>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</si>
  <si>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</si>
  <si>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</si>
  <si>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</si>
  <si>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</si>
  <si>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</si>
  <si>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</si>
  <si>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</si>
  <si>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</si>
  <si>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</si>
  <si>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</si>
  <si>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</si>
  <si>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</si>
  <si>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</si>
  <si>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</si>
  <si>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</si>
  <si>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</si>
  <si>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</si>
  <si>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</si>
  <si>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</si>
  <si>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</si>
  <si>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</si>
  <si>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</si>
  <si>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</si>
  <si>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</si>
  <si>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</si>
  <si>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</si>
  <si>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</si>
  <si>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</si>
  <si>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</si>
  <si>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</si>
  <si>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</si>
  <si>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</si>
  <si>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</si>
  <si>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</si>
  <si>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</si>
  <si>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</si>
  <si>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</si>
  <si>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</si>
  <si>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</si>
  <si>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</si>
  <si>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</si>
  <si>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</si>
  <si>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</si>
  <si>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</si>
  <si>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</si>
  <si>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</si>
  <si>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</si>
  <si>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</si>
  <si>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</si>
  <si>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</si>
  <si>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</si>
  <si>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</si>
  <si>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</si>
  <si>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</si>
  <si>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</si>
  <si>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</si>
  <si>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</si>
  <si>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</si>
  <si>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</si>
  <si>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</si>
  <si>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</si>
  <si>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</si>
  <si>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</si>
  <si>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</si>
  <si>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</si>
  <si>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</si>
  <si>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</si>
  <si>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</si>
  <si>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</si>
  <si>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</si>
  <si>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</si>
  <si>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</si>
  <si>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</si>
  <si>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</si>
  <si>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</si>
  <si>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</si>
  <si>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</si>
  <si>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</si>
  <si>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</si>
  <si>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</si>
  <si>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</si>
  <si>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</si>
  <si>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</si>
  <si>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</si>
  <si>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</si>
  <si>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</si>
  <si>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</si>
  <si>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</si>
  <si>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</si>
  <si>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</si>
  <si>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</si>
  <si>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</si>
  <si>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</si>
  <si>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</si>
  <si>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</si>
  <si>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</si>
  <si>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</si>
  <si>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</si>
  <si>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</si>
  <si>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</si>
  <si>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</si>
  <si>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</si>
  <si>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</si>
  <si>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</si>
  <si>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</si>
  <si>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</si>
  <si>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</si>
  <si>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</si>
  <si>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</si>
  <si>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</si>
  <si>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</si>
  <si>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</si>
  <si>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</si>
  <si>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</si>
  <si>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</si>
  <si>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</si>
  <si>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</si>
  <si>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</si>
  <si>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</si>
  <si>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</si>
  <si>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</si>
  <si>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</si>
  <si>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</si>
  <si>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</si>
  <si>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</si>
  <si>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</si>
  <si>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</si>
  <si>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</si>
  <si>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</si>
  <si>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</si>
  <si>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</si>
  <si>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</si>
  <si>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</si>
  <si>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</si>
  <si>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</si>
  <si>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</si>
  <si>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</si>
  <si>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</si>
  <si>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</si>
  <si>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</si>
  <si>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</si>
  <si>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</si>
  <si>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</si>
  <si>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</si>
  <si>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</si>
  <si>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</si>
  <si>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</si>
  <si>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</si>
  <si>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</si>
  <si>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</si>
  <si>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</si>
  <si>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</si>
  <si>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</si>
  <si>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</si>
  <si>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</si>
  <si>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</si>
  <si>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</si>
  <si>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</si>
  <si>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</si>
  <si>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</si>
  <si>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</si>
  <si>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</si>
  <si>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</si>
  <si>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</si>
  <si>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</si>
  <si>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</si>
  <si>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</si>
  <si>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</si>
  <si>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</si>
  <si>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</si>
  <si>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</si>
  <si>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</si>
  <si>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</si>
  <si>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</si>
  <si>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</si>
  <si>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</si>
  <si>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</si>
  <si>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</si>
  <si>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</si>
  <si>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</si>
  <si>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</si>
  <si>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</si>
  <si>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</si>
  <si>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</si>
  <si>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</si>
  <si>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</si>
  <si>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</si>
  <si>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</si>
  <si>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</si>
  <si>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</si>
  <si>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</si>
  <si>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</si>
  <si>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</si>
  <si>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</si>
  <si>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</si>
  <si>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</si>
  <si>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</si>
  <si>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</si>
  <si>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</si>
  <si>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</si>
  <si>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</si>
  <si>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</si>
  <si>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</si>
  <si>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</si>
  <si>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</si>
  <si>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</si>
  <si>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</si>
  <si>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</si>
  <si>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</si>
  <si>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</si>
  <si>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</si>
  <si>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</si>
  <si>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</si>
  <si>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</si>
  <si>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</si>
  <si>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</si>
  <si>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</si>
  <si>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</si>
  <si>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</si>
  <si>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</si>
  <si>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</si>
  <si>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</si>
  <si>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</si>
  <si>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</si>
  <si>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</si>
  <si>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</si>
  <si>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</si>
  <si>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</si>
  <si>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</si>
  <si>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</si>
  <si>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</si>
  <si>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</si>
  <si>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</si>
  <si>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</si>
  <si>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</si>
  <si>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</si>
  <si>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</si>
  <si>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</si>
  <si>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</si>
  <si>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</si>
  <si>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</si>
  <si>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</si>
  <si>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</si>
  <si>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</si>
  <si>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</si>
  <si>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</si>
  <si>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</si>
  <si>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</si>
  <si>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</si>
  <si>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</si>
  <si>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</si>
  <si>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</si>
  <si>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</si>
  <si>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</si>
  <si>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</si>
  <si>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</si>
  <si>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</si>
  <si>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</si>
  <si>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</si>
  <si>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</si>
  <si>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</si>
  <si>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</si>
  <si>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</si>
  <si>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</si>
  <si>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</si>
  <si>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</si>
  <si>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</si>
  <si>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</si>
  <si>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</si>
  <si>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</si>
  <si>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</si>
  <si>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</si>
  <si>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</si>
  <si>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</si>
  <si>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</si>
  <si>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</si>
  <si>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</si>
  <si>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</si>
  <si>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</si>
  <si>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</si>
  <si>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</si>
  <si>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</si>
  <si>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</si>
  <si>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</si>
  <si>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</si>
  <si>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</si>
  <si>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</si>
  <si>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</si>
  <si>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</si>
  <si>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</si>
  <si>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</si>
  <si>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</si>
  <si>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</si>
  <si>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</si>
  <si>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</si>
  <si>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</si>
  <si>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</si>
  <si>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</si>
  <si>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</si>
  <si>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</si>
  <si>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</si>
  <si>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</si>
  <si>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</si>
  <si>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</si>
  <si>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</si>
  <si>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</si>
  <si>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</si>
  <si>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</si>
  <si>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</si>
  <si>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</si>
  <si>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</si>
  <si>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</si>
  <si>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</si>
  <si>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</si>
  <si>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</si>
  <si>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</si>
  <si>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</si>
  <si>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</si>
  <si>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</si>
  <si>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</si>
  <si>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</si>
  <si>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</si>
  <si>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</si>
  <si>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</si>
  <si>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</si>
  <si>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</si>
  <si>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</si>
  <si>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</si>
  <si>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</si>
  <si>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</si>
  <si>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</si>
  <si>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</si>
  <si>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</si>
  <si>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</si>
  <si>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</si>
  <si>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</si>
  <si>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</si>
  <si>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</si>
  <si>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</si>
  <si>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</si>
  <si>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</si>
  <si>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</si>
  <si>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</si>
  <si>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</si>
  <si>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</si>
  <si>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</si>
  <si>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</si>
  <si>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</si>
  <si>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</si>
  <si>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</si>
  <si>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</si>
  <si>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</si>
  <si>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</si>
  <si>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</si>
  <si>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</si>
  <si>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</si>
  <si>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</si>
  <si>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</si>
  <si>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</si>
  <si>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</si>
  <si>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</si>
  <si>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</si>
  <si>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</si>
  <si>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</si>
  <si>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</si>
  <si>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</si>
  <si>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</si>
  <si>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</si>
  <si>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</si>
  <si>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</si>
  <si>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</si>
  <si>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</si>
  <si>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</si>
  <si>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</si>
  <si>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</si>
  <si>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</si>
  <si>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</si>
  <si>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</si>
  <si>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</si>
  <si>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</si>
  <si>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</si>
  <si>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</si>
  <si>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</si>
  <si>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</si>
  <si>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</si>
  <si>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</si>
  <si>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</si>
  <si>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</si>
  <si>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</si>
  <si>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</si>
  <si>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</si>
  <si>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</si>
  <si>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</si>
  <si>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</si>
  <si>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</si>
  <si>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</si>
  <si>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</si>
  <si>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</si>
  <si>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</si>
  <si>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</si>
  <si>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</si>
  <si>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</si>
  <si>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</si>
  <si>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</si>
  <si>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</si>
  <si>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</si>
  <si>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</si>
  <si>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</si>
  <si>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</si>
  <si>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</si>
  <si>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</si>
  <si>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</si>
  <si>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</si>
  <si>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</si>
  <si>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</si>
  <si>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</si>
  <si>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</si>
  <si>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</si>
  <si>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</si>
  <si>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</si>
  <si>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</si>
  <si>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</si>
  <si>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</si>
  <si>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</si>
  <si>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</si>
  <si>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</si>
  <si>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</si>
  <si>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</si>
  <si>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</si>
  <si>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</si>
  <si>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</si>
  <si>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</si>
  <si>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</si>
  <si>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</si>
  <si>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</si>
  <si>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</si>
  <si>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</si>
  <si>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</si>
  <si>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</si>
  <si>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</si>
  <si>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</si>
  <si>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</si>
  <si>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</si>
  <si>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</si>
  <si>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</si>
  <si>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</si>
  <si>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</si>
  <si>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</si>
  <si>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</si>
  <si>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</si>
  <si>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</si>
  <si>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</si>
  <si>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</si>
  <si>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</si>
  <si>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</si>
  <si>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</si>
  <si>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</si>
  <si>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</si>
  <si>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</si>
  <si>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</si>
  <si>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</si>
  <si>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</si>
  <si>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</si>
  <si>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</si>
  <si>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</si>
  <si>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</si>
  <si>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</si>
  <si>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</si>
  <si>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</si>
  <si>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</si>
  <si>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</si>
  <si>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</si>
  <si>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</si>
  <si>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</si>
  <si>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</si>
  <si>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</si>
  <si>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</si>
  <si>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</si>
  <si>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</si>
  <si>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</si>
  <si>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</si>
  <si>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</si>
  <si>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</si>
  <si>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</si>
  <si>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</si>
  <si>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</si>
  <si>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</si>
  <si>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</si>
  <si>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</si>
  <si>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</si>
  <si>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</si>
  <si>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</si>
  <si>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</si>
  <si>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</si>
  <si>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</si>
  <si>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</si>
  <si>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</si>
  <si>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</si>
  <si>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</si>
  <si>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</si>
  <si>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</si>
  <si>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</si>
  <si>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</si>
  <si>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</si>
  <si>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</si>
  <si>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</si>
  <si>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</si>
  <si>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</si>
  <si>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</si>
  <si>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</si>
  <si>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</si>
  <si>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</si>
  <si>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</si>
  <si>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</si>
  <si>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</si>
  <si>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</si>
  <si>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</si>
  <si>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</si>
  <si>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</si>
  <si>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</si>
  <si>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</si>
  <si>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</si>
  <si>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</si>
  <si>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</si>
  <si>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</si>
  <si>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</si>
  <si>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</si>
  <si>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</si>
  <si>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</si>
  <si>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</si>
  <si>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</si>
  <si>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</si>
  <si>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</si>
  <si>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</si>
  <si>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</si>
  <si>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</si>
  <si>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</si>
  <si>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</si>
  <si>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</si>
  <si>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</si>
  <si>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</si>
  <si>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</si>
  <si>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</si>
  <si>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</si>
  <si>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</si>
  <si>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</si>
  <si>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</si>
  <si>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</si>
  <si>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</si>
  <si>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</si>
  <si>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</si>
  <si>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</si>
  <si>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</si>
  <si>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</si>
  <si>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</si>
  <si>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</si>
  <si>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</si>
  <si>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</si>
  <si>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</si>
  <si>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</si>
  <si>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</si>
  <si>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</si>
  <si>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</si>
  <si>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</si>
  <si>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</si>
  <si>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</si>
  <si>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</si>
  <si>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</si>
  <si>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</si>
  <si>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</si>
  <si>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</si>
  <si>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</si>
  <si>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</si>
  <si>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</si>
  <si>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</si>
  <si>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</si>
  <si>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</si>
  <si>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</si>
  <si>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</si>
  <si>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</si>
  <si>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</si>
  <si>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</si>
  <si>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</si>
  <si>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</si>
  <si>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</si>
  <si>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</si>
  <si>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</si>
  <si>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</si>
  <si>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</si>
  <si>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</si>
  <si>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</si>
  <si>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</si>
  <si>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</si>
  <si>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</si>
  <si>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</si>
  <si>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</si>
  <si>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</si>
  <si>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</si>
  <si>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</si>
  <si>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</si>
  <si>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</si>
  <si>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</si>
  <si>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</si>
  <si>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</si>
  <si>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</si>
  <si>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</si>
  <si>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</si>
  <si>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</si>
  <si>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</si>
  <si>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</si>
  <si>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</si>
  <si>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</si>
  <si>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</si>
  <si>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</si>
  <si>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</si>
  <si>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</si>
  <si>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</si>
  <si>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</si>
  <si>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</si>
  <si>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</si>
  <si>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</si>
  <si>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</si>
  <si>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</si>
  <si>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</si>
  <si>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</si>
  <si>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</si>
  <si>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</si>
  <si>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</si>
  <si>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</si>
  <si>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</si>
  <si>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</si>
  <si>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</si>
  <si>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</si>
  <si>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</si>
  <si>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</si>
  <si>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</si>
  <si>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</si>
  <si>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</si>
  <si>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</si>
  <si>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</si>
  <si>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</si>
  <si>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</si>
  <si>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</si>
  <si>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</si>
  <si>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</si>
  <si>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</si>
  <si>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</si>
  <si>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</si>
  <si>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</si>
  <si>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</si>
  <si>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</si>
  <si>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</si>
  <si>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</si>
  <si>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</si>
  <si>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</si>
  <si>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</si>
  <si>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</si>
  <si>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</si>
  <si>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</si>
  <si>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</si>
  <si>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</si>
  <si>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</si>
  <si>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</si>
  <si>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</si>
  <si>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</si>
  <si>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</si>
  <si>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</si>
  <si>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</si>
  <si>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</si>
  <si>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</si>
  <si>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</si>
  <si>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</si>
  <si>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</si>
  <si>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</si>
  <si>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</si>
  <si>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</si>
  <si>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</si>
  <si>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</si>
  <si>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</si>
  <si>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</si>
  <si>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</si>
  <si>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</si>
  <si>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</si>
  <si>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</si>
  <si>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</si>
  <si>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</si>
  <si>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</si>
  <si>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</si>
  <si>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</si>
  <si>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</si>
  <si>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</si>
  <si>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</si>
  <si>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</si>
  <si>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</si>
  <si>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</si>
  <si>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</si>
  <si>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</si>
  <si>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</si>
  <si>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</si>
  <si>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</si>
  <si>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</si>
  <si>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</si>
  <si>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</si>
  <si>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</si>
  <si>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</si>
  <si>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</si>
  <si>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</si>
  <si>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</si>
  <si>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</si>
  <si>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</si>
  <si>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</si>
  <si>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</si>
  <si>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</si>
  <si>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</si>
  <si>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</si>
  <si>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</si>
  <si>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</si>
  <si>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</si>
  <si>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</si>
  <si>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</si>
  <si>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</si>
  <si>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</si>
  <si>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</si>
  <si>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</si>
  <si>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</si>
  <si>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</si>
  <si>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</si>
  <si>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</si>
  <si>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</si>
  <si>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</si>
  <si>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</si>
  <si>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</si>
  <si>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</si>
  <si>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</si>
  <si>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</si>
  <si>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</si>
  <si>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</si>
  <si>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</si>
  <si>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</si>
  <si>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</si>
  <si>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</si>
  <si>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</si>
  <si>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</si>
  <si>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</si>
  <si>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</si>
  <si>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</si>
  <si>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</si>
  <si>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</si>
  <si>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</si>
  <si>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</si>
  <si>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</si>
  <si>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</si>
  <si>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</si>
  <si>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</si>
  <si>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</si>
  <si>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</si>
  <si>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</si>
  <si>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</si>
  <si>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</si>
  <si>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</si>
  <si>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</si>
  <si>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</si>
  <si>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</si>
  <si>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</si>
  <si>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</si>
  <si>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</si>
  <si>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</si>
  <si>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</si>
  <si>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</si>
  <si>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</si>
  <si>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</si>
  <si>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</si>
  <si>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</si>
  <si>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</si>
  <si>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</si>
  <si>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</si>
  <si>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</si>
  <si>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</si>
  <si>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</si>
  <si>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</si>
  <si>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</si>
  <si>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</si>
  <si>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</si>
  <si>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</si>
  <si>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</si>
  <si>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</si>
  <si>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</si>
  <si>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</si>
  <si>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</si>
  <si>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</si>
  <si>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</si>
  <si>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</si>
  <si>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</si>
  <si>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</si>
  <si>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</si>
  <si>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</si>
  <si>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</si>
  <si>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</si>
  <si>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</si>
  <si>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</si>
  <si>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</si>
  <si>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</si>
  <si>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</si>
  <si>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</si>
  <si>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</si>
  <si>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</si>
  <si>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</si>
  <si>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</si>
  <si>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</si>
  <si>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</si>
  <si>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</si>
  <si>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</si>
  <si>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</si>
  <si>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</si>
  <si>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</si>
  <si>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</si>
  <si>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</si>
  <si>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</si>
  <si>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</si>
  <si>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</si>
  <si>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</si>
  <si>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</si>
  <si>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</si>
  <si>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</si>
  <si>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</si>
  <si>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</si>
  <si>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</si>
  <si>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</si>
  <si>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</si>
  <si>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</si>
  <si>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</si>
  <si>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</si>
  <si>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</si>
  <si>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</si>
  <si>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</si>
  <si>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</si>
  <si>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</si>
  <si>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</si>
  <si>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</si>
  <si>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</si>
  <si>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</si>
  <si>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</si>
  <si>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</si>
  <si>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</si>
  <si>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</si>
  <si>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</si>
  <si>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</si>
  <si>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</si>
  <si>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</si>
  <si>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</si>
  <si>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</si>
  <si>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</si>
  <si>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</si>
  <si>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</si>
  <si>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</si>
  <si>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</si>
  <si>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</si>
  <si>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</si>
  <si>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</si>
  <si>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</si>
  <si>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</si>
  <si>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</si>
  <si>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</si>
  <si>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</si>
  <si>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</si>
  <si>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</si>
  <si>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</si>
  <si>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</si>
  <si>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</si>
  <si>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</si>
  <si>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</si>
  <si>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</si>
  <si>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</si>
  <si>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</si>
  <si>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</si>
  <si>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</si>
  <si>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</si>
  <si>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</si>
  <si>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</si>
  <si>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</si>
  <si>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</si>
  <si>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</si>
  <si>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</si>
  <si>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</si>
  <si>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</si>
  <si>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</si>
  <si>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</si>
  <si>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</si>
  <si>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</si>
  <si>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</si>
  <si>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</si>
  <si>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</si>
  <si>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</si>
  <si>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</si>
  <si>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</si>
  <si>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</si>
  <si>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</si>
  <si>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</si>
  <si>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</si>
  <si>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</si>
  <si>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</si>
  <si>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</si>
  <si>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</si>
  <si>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</si>
  <si>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</si>
  <si>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</si>
  <si>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</si>
  <si>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</si>
  <si>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</si>
  <si>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</si>
  <si>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</si>
  <si>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</si>
  <si>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</si>
  <si>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</si>
  <si>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</si>
  <si>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</si>
  <si>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</si>
  <si>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</si>
  <si>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</si>
  <si>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</si>
  <si>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</si>
  <si>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</si>
  <si>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</si>
  <si>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</si>
  <si>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</si>
  <si>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</si>
  <si>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</si>
  <si>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</si>
  <si>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</si>
  <si>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</si>
  <si>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</si>
  <si>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</si>
  <si>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</si>
  <si>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</si>
  <si>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</si>
  <si>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</si>
  <si>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</si>
  <si>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</si>
  <si>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</si>
  <si>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</si>
  <si>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</si>
  <si>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</si>
  <si>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</si>
  <si>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</si>
  <si>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</si>
  <si>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</si>
  <si>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</si>
  <si>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</si>
  <si>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</si>
  <si>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</si>
  <si>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</si>
  <si>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</si>
  <si>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</si>
  <si>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</si>
  <si>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</si>
  <si>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</si>
  <si>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</si>
  <si>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</si>
  <si>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</si>
  <si>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</si>
  <si>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</si>
  <si>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</si>
  <si>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</si>
  <si>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</si>
  <si>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</si>
  <si>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</si>
  <si>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</si>
  <si>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</si>
  <si>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</si>
  <si>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</si>
  <si>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</si>
  <si>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</si>
  <si>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</si>
  <si>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</si>
  <si>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</si>
  <si>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</si>
  <si>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</si>
  <si>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</si>
  <si>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</si>
  <si>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</si>
  <si>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</si>
  <si>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</si>
  <si>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</si>
  <si>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</si>
  <si>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</si>
  <si>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</si>
  <si>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</si>
  <si>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</si>
  <si>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</si>
  <si>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</si>
  <si>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</si>
  <si>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</si>
  <si>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</si>
  <si>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</si>
  <si>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</si>
  <si>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</si>
  <si>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</si>
  <si>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</si>
  <si>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</si>
  <si>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</si>
  <si>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</si>
  <si>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</si>
  <si>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</si>
  <si>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</si>
  <si>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</si>
  <si>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</si>
  <si>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</si>
  <si>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</si>
  <si>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</si>
  <si>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</si>
  <si>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</si>
  <si>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</si>
  <si>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</si>
  <si>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</si>
  <si>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</si>
  <si>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</si>
  <si>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</si>
  <si>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</si>
  <si>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</si>
  <si>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</si>
  <si>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</si>
  <si>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</si>
  <si>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</si>
  <si>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</si>
  <si>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</si>
  <si>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</si>
  <si>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</si>
  <si>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</si>
  <si>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</si>
  <si>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</si>
  <si>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</si>
  <si>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</si>
  <si>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</si>
  <si>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</si>
  <si>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</si>
  <si>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</si>
  <si>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</si>
  <si>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</si>
  <si>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</si>
  <si>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</si>
  <si>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</si>
  <si>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</si>
  <si>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</si>
  <si>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</si>
  <si>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</si>
  <si>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</si>
  <si>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</si>
  <si>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</si>
  <si>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</si>
  <si>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</si>
  <si>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</si>
  <si>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</si>
  <si>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</si>
  <si>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</si>
  <si>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</si>
  <si>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</si>
  <si>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</si>
  <si>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</si>
  <si>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</si>
  <si>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</si>
  <si>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</si>
  <si>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</si>
  <si>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</si>
  <si>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</si>
  <si>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</si>
  <si>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</si>
  <si>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</si>
  <si>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</si>
  <si>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</si>
  <si>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</si>
  <si>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</si>
  <si>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</si>
  <si>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</si>
  <si>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</si>
  <si>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</si>
  <si>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</si>
  <si>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</si>
  <si>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</si>
  <si>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</si>
  <si>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</si>
  <si>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</si>
  <si>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</si>
  <si>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</si>
  <si>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</si>
  <si>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</si>
  <si>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</si>
  <si>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</si>
  <si>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</si>
  <si>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</si>
  <si>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</si>
  <si>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</si>
  <si>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</si>
  <si>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</si>
  <si>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</si>
  <si>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</si>
  <si>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</si>
  <si>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</si>
  <si>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</si>
  <si>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</si>
  <si>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</si>
  <si>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</si>
  <si>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</si>
  <si>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</si>
  <si>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</si>
  <si>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</si>
  <si>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</si>
  <si>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</si>
  <si>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</si>
  <si>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</si>
  <si>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</si>
  <si>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</si>
  <si>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</si>
  <si>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</si>
  <si>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</si>
  <si>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</si>
  <si>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</si>
  <si>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</si>
  <si>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</si>
  <si>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</si>
  <si>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</si>
  <si>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</si>
  <si>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</si>
  <si>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</si>
  <si>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</si>
  <si>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</si>
  <si>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</si>
  <si>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</si>
  <si>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</si>
  <si>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</si>
  <si>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</si>
  <si>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</si>
  <si>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</si>
  <si>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</si>
  <si>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</si>
  <si>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</si>
  <si>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</si>
  <si>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</si>
  <si>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</si>
  <si>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</si>
  <si>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</si>
  <si>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</si>
  <si>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</si>
  <si>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</si>
  <si>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</si>
  <si>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</si>
  <si>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</si>
  <si>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</si>
  <si>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</si>
  <si>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</si>
  <si>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</si>
  <si>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</si>
  <si>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</si>
  <si>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</si>
  <si>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</si>
  <si>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</si>
  <si>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</si>
  <si>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</si>
  <si>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</si>
  <si>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</si>
  <si>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</si>
  <si>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</si>
  <si>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</si>
  <si>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</si>
  <si>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</si>
  <si>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</si>
  <si>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</si>
  <si>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</si>
  <si>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</si>
  <si>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</si>
  <si>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</si>
  <si>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</si>
  <si>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</si>
  <si>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</si>
  <si>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</si>
  <si>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</si>
  <si>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</si>
  <si>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</si>
  <si>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</si>
  <si>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</si>
  <si>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</si>
  <si>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</si>
  <si>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</si>
  <si>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</si>
  <si>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</si>
  <si>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</si>
  <si>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</si>
  <si>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</si>
  <si>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</si>
  <si>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</si>
  <si>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</si>
  <si>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</si>
  <si>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</si>
  <si>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</si>
  <si>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</si>
  <si>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</si>
  <si>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</si>
  <si>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</si>
  <si>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</si>
  <si>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</si>
  <si>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</si>
  <si>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</si>
  <si>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</si>
  <si>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</si>
  <si>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</si>
  <si>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</si>
  <si>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</si>
  <si>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</si>
  <si>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</si>
  <si>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</si>
  <si>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</si>
  <si>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</si>
  <si>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</si>
  <si>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</si>
  <si>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</si>
  <si>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</si>
  <si>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</si>
  <si>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</si>
  <si>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</si>
  <si>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</si>
  <si>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</si>
  <si>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</si>
  <si>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</si>
  <si>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</si>
  <si>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</si>
  <si>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</si>
  <si>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</si>
  <si>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</si>
  <si>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</si>
  <si>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</si>
  <si>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</si>
  <si>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</si>
  <si>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</si>
  <si>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</si>
  <si>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</si>
  <si>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</si>
  <si>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</si>
  <si>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</si>
  <si>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</si>
  <si>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</si>
  <si>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</si>
  <si>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</si>
  <si>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</si>
  <si>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</si>
  <si>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</si>
  <si>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</si>
  <si>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</si>
  <si>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</si>
  <si>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</si>
  <si>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</si>
  <si>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</si>
  <si>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</si>
  <si>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</si>
  <si>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</si>
  <si>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</si>
  <si>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</si>
  <si>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</si>
  <si>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</si>
  <si>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</si>
  <si>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</si>
  <si>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</si>
  <si>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</si>
  <si>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</si>
  <si>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</si>
  <si>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</si>
  <si>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</si>
  <si>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</si>
  <si>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</si>
  <si>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</si>
  <si>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</si>
  <si>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</si>
  <si>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</si>
  <si>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</si>
  <si>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</si>
  <si>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</si>
  <si>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</si>
  <si>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</si>
  <si>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</si>
  <si>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</si>
  <si>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</si>
  <si>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</si>
  <si>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</si>
  <si>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</si>
  <si>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</si>
  <si>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</si>
  <si>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</si>
  <si>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</si>
  <si>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</si>
  <si>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</si>
  <si>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</si>
  <si>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</si>
  <si>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</si>
  <si>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</si>
  <si>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</si>
  <si>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</si>
  <si>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</si>
  <si>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</si>
  <si>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</si>
  <si>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</si>
  <si>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</si>
  <si>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</si>
  <si>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</si>
  <si>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</si>
  <si>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</si>
  <si>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</si>
  <si>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</si>
  <si>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</si>
  <si>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</si>
  <si>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</si>
  <si>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</si>
  <si>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</si>
  <si>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</si>
  <si>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</si>
  <si>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</si>
  <si>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</si>
  <si>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</si>
  <si>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</si>
  <si>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</si>
  <si>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</si>
  <si>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</si>
  <si>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</si>
  <si>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</si>
  <si>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</si>
  <si>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</si>
  <si>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</si>
  <si>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</si>
  <si>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</si>
  <si>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</si>
  <si>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</si>
  <si>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</si>
  <si>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</si>
  <si>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</si>
  <si>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</si>
  <si>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</si>
  <si>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</si>
  <si>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</si>
  <si>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</si>
  <si>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</si>
  <si>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</si>
  <si>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</si>
  <si>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</si>
  <si>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</si>
  <si>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</si>
  <si>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</si>
  <si>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</si>
  <si>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</si>
  <si>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</si>
  <si>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</si>
  <si>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</si>
  <si>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</si>
  <si>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</si>
  <si>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</si>
  <si>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</si>
  <si>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</si>
  <si>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</si>
  <si>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</si>
  <si>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</si>
  <si>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</si>
  <si>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</si>
  <si>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</si>
  <si>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</si>
  <si>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</si>
  <si>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</si>
  <si>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</si>
  <si>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</si>
  <si>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</si>
  <si>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</si>
  <si>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</si>
  <si>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</si>
  <si>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</si>
  <si>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</si>
  <si>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</si>
  <si>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</si>
  <si>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</si>
  <si>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</si>
  <si>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</si>
  <si>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</si>
  <si>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</si>
  <si>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</si>
  <si>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</si>
  <si>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</si>
  <si>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</si>
  <si>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</si>
  <si>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</si>
  <si>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</si>
  <si>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</si>
  <si>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</si>
  <si>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</si>
  <si>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</si>
  <si>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</si>
  <si>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</si>
  <si>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</si>
  <si>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</si>
  <si>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</si>
  <si>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</si>
  <si>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</si>
  <si>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</si>
  <si>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</si>
  <si>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</si>
  <si>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</si>
  <si>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</si>
  <si>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</si>
  <si>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</si>
  <si>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</si>
  <si>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</si>
  <si>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</si>
  <si>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</si>
  <si>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</si>
  <si>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</si>
  <si>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</si>
  <si>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</si>
  <si>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</si>
  <si>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</si>
  <si>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</si>
  <si>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</si>
  <si>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</si>
  <si>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</si>
  <si>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</si>
  <si>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</si>
  <si>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</si>
  <si>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</si>
  <si>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</si>
  <si>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</si>
  <si>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</si>
  <si>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</si>
  <si>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</si>
  <si>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</si>
  <si>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</si>
  <si>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</si>
  <si>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</si>
  <si>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</si>
  <si>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</si>
  <si>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</si>
  <si>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</si>
  <si>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</si>
  <si>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</si>
  <si>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</si>
  <si>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</si>
  <si>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</si>
  <si>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</si>
  <si>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</si>
  <si>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</si>
  <si>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</si>
  <si>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</si>
  <si>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</si>
  <si>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</si>
  <si>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</si>
  <si>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</si>
  <si>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</si>
  <si>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</si>
  <si>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</si>
  <si>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</si>
  <si>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</si>
  <si>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</si>
  <si>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</si>
  <si>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</si>
  <si>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</si>
  <si>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</si>
  <si>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</si>
  <si>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</si>
  <si>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</si>
  <si>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</si>
  <si>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</si>
  <si>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</si>
  <si>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</si>
  <si>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</si>
  <si>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</si>
  <si>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</si>
  <si>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</si>
  <si>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</si>
  <si>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</si>
  <si>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</si>
  <si>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</si>
  <si>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</si>
  <si>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</si>
  <si>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</si>
  <si>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</si>
  <si>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</si>
  <si>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</si>
  <si>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</si>
  <si>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</si>
  <si>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</si>
  <si>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</si>
  <si>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</si>
  <si>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</si>
  <si>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</si>
  <si>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</si>
  <si>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</si>
  <si>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</si>
  <si>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</si>
  <si>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</si>
  <si>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</si>
  <si>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</si>
  <si>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</si>
  <si>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</si>
  <si>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</si>
  <si>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</si>
  <si>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</si>
  <si>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</si>
  <si>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</si>
  <si>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</si>
  <si>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</si>
  <si>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</si>
  <si>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</si>
  <si>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</si>
  <si>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</si>
  <si>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</si>
  <si>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</si>
  <si>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</si>
  <si>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</si>
  <si>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</si>
  <si>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</si>
  <si>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</si>
  <si>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</si>
  <si>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</si>
  <si>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</si>
  <si>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</si>
  <si>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</si>
  <si>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</si>
  <si>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</si>
  <si>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</si>
  <si>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</si>
  <si>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</si>
  <si>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</si>
  <si>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</si>
  <si>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</si>
  <si>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</si>
  <si>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</si>
  <si>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</si>
  <si>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</si>
  <si>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</si>
  <si>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</si>
  <si>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</si>
  <si>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</si>
  <si>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</si>
  <si>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</si>
  <si>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</si>
  <si>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</si>
  <si>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</si>
  <si>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</si>
  <si>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</si>
  <si>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</si>
  <si>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</si>
  <si>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</si>
  <si>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</si>
  <si>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</si>
  <si>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</si>
  <si>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</si>
  <si>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</si>
  <si>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</si>
  <si>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</si>
  <si>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</si>
  <si>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</si>
  <si>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</si>
  <si>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</si>
  <si>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</si>
  <si>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</si>
  <si>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</si>
  <si>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</si>
  <si>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</si>
  <si>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</si>
  <si>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</si>
  <si>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</si>
  <si>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</si>
  <si>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</si>
  <si>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</si>
  <si>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</si>
  <si>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</si>
  <si>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</si>
  <si>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</si>
  <si>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</si>
  <si>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</si>
  <si>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</si>
  <si>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</si>
  <si>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</si>
  <si>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</si>
  <si>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</si>
  <si>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</si>
  <si>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</si>
  <si>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</si>
  <si>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</si>
  <si>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</si>
  <si>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</si>
  <si>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</si>
  <si>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</si>
  <si>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</si>
  <si>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</si>
  <si>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</si>
  <si>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</si>
  <si>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</si>
  <si>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</si>
  <si>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</si>
  <si>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</si>
  <si>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</si>
  <si>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</si>
  <si>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</si>
  <si>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</si>
  <si>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</si>
  <si>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</si>
  <si>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</si>
  <si>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</si>
  <si>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</si>
  <si>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</si>
  <si>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</si>
  <si>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</si>
  <si>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</si>
  <si>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</si>
  <si>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</si>
  <si>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</si>
  <si>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</si>
  <si>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</si>
  <si>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</si>
  <si>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</si>
  <si>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</si>
  <si>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</si>
  <si>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</si>
  <si>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</si>
  <si>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</si>
  <si>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</si>
  <si>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</si>
  <si>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</si>
  <si>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</si>
  <si>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</si>
  <si>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</si>
  <si>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</si>
  <si>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</si>
  <si>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</si>
  <si>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</si>
  <si>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</si>
  <si>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</si>
  <si>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</si>
  <si>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</si>
  <si>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</si>
  <si>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</si>
  <si>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</si>
  <si>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</si>
  <si>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</si>
  <si>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</si>
  <si>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</si>
  <si>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</si>
  <si>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</si>
  <si>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</si>
  <si>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</si>
  <si>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</si>
  <si>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</si>
  <si>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</si>
  <si>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</si>
  <si>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</si>
  <si>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</si>
  <si>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</si>
  <si>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</si>
  <si>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</si>
  <si>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</si>
  <si>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</si>
  <si>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</si>
  <si>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</si>
  <si>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</si>
  <si>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</si>
  <si>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</si>
  <si>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</si>
  <si>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</si>
  <si>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</si>
  <si>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</si>
  <si>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</si>
  <si>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</si>
  <si>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</si>
  <si>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</si>
  <si>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</si>
  <si>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</si>
  <si>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</si>
  <si>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</si>
  <si>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</si>
  <si>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</si>
  <si>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</si>
  <si>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</si>
  <si>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</si>
  <si>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</si>
  <si>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</si>
  <si>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</si>
  <si>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</si>
  <si>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</si>
  <si>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</si>
  <si>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</si>
  <si>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</si>
  <si>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</si>
  <si>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</si>
  <si>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</si>
  <si>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</si>
  <si>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</si>
  <si>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</si>
  <si>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</si>
  <si>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</si>
  <si>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</si>
  <si>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</si>
  <si>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</si>
  <si>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</si>
  <si>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</si>
  <si>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</si>
  <si>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</si>
  <si>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</si>
  <si>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</si>
  <si>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</si>
  <si>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</si>
  <si>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</si>
  <si>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</si>
  <si>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</si>
  <si>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</si>
  <si>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</si>
  <si>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</si>
  <si>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</si>
  <si>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</si>
  <si>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</si>
  <si>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</si>
  <si>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</si>
  <si>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</si>
  <si>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</si>
  <si>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</si>
  <si>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</si>
  <si>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</si>
  <si>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</si>
  <si>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</si>
  <si>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</si>
  <si>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</si>
  <si>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</si>
  <si>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</si>
  <si>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</si>
  <si>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</si>
  <si>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</si>
  <si>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</si>
  <si>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</si>
  <si>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</si>
  <si>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</si>
  <si>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</si>
  <si>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</si>
  <si>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</si>
  <si>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</si>
  <si>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</si>
  <si>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</si>
  <si>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</si>
  <si>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</si>
  <si>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</si>
  <si>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</si>
  <si>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</si>
  <si>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</si>
  <si>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</si>
  <si>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</si>
  <si>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</si>
  <si>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</si>
  <si>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</si>
  <si>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</si>
  <si>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</si>
  <si>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</si>
  <si>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</si>
  <si>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</si>
  <si>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</si>
  <si>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</si>
  <si>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</si>
  <si>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</si>
  <si>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</si>
  <si>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</si>
  <si>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</si>
  <si>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</si>
  <si>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</si>
  <si>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</si>
  <si>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</si>
  <si>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</si>
  <si>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</si>
  <si>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</si>
  <si>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</si>
  <si>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</si>
  <si>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</si>
  <si>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</si>
  <si>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</si>
  <si>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</si>
  <si>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</si>
  <si>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</si>
  <si>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</si>
  <si>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</si>
  <si>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</si>
  <si>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</si>
  <si>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</si>
  <si>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</si>
  <si>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</si>
  <si>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</si>
  <si>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</si>
  <si>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</si>
  <si>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</si>
  <si>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</si>
  <si>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</si>
  <si>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</si>
  <si>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</si>
  <si>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</si>
  <si>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</si>
  <si>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</si>
  <si>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</si>
  <si>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</si>
  <si>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</si>
  <si>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</si>
  <si>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</si>
  <si>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</si>
  <si>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</si>
  <si>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</si>
  <si>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</si>
  <si>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</si>
  <si>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</si>
  <si>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</si>
  <si>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</si>
  <si>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</si>
  <si>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</si>
  <si>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</si>
  <si>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</si>
  <si>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</si>
  <si>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</si>
  <si>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</si>
  <si>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</si>
  <si>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</si>
  <si>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</si>
  <si>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</si>
  <si>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</si>
  <si>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</si>
  <si>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</si>
  <si>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</si>
  <si>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</si>
  <si>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</si>
  <si>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</si>
  <si>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</si>
  <si>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</si>
  <si>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</si>
  <si>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</si>
  <si>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</si>
  <si>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</si>
  <si>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</si>
  <si>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</si>
  <si>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</si>
  <si>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</si>
  <si>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</si>
  <si>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</si>
  <si>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</si>
  <si>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</si>
  <si>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</si>
  <si>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</si>
  <si>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</si>
  <si>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</si>
  <si>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</si>
  <si>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</si>
  <si>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</si>
  <si>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</si>
  <si>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</si>
  <si>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</si>
  <si>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</si>
  <si>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</si>
  <si>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</si>
  <si>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</si>
  <si>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</si>
  <si>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</si>
  <si>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</si>
  <si>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</si>
  <si>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</si>
  <si>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</si>
  <si>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</si>
  <si>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</si>
  <si>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</si>
  <si>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</si>
  <si>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</si>
  <si>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</si>
  <si>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</si>
  <si>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</si>
  <si>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</si>
  <si>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</si>
  <si>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</si>
  <si>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</si>
  <si>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</si>
  <si>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</si>
  <si>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</si>
  <si>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</si>
  <si>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</si>
  <si>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</si>
  <si>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</si>
  <si>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</si>
  <si>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</si>
  <si>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</si>
  <si>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</si>
  <si>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</si>
  <si>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</si>
  <si>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</si>
  <si>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</si>
  <si>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</si>
  <si>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</si>
  <si>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</si>
  <si>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</si>
  <si>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</si>
  <si>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</si>
  <si>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</si>
  <si>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</si>
  <si>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</si>
  <si>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</si>
  <si>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</si>
  <si>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</si>
  <si>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</si>
  <si>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</si>
  <si>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</si>
  <si>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</si>
  <si>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</si>
  <si>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</si>
  <si>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</si>
  <si>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</si>
  <si>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</si>
  <si>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</si>
  <si>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</si>
  <si>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</si>
  <si>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</si>
  <si>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</si>
  <si>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</si>
  <si>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</si>
  <si>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</si>
  <si>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</si>
  <si>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</si>
  <si>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</si>
  <si>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</si>
  <si>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</si>
  <si>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</si>
  <si>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</si>
  <si>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</si>
  <si>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</si>
  <si>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</si>
  <si>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</si>
  <si>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</si>
  <si>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</si>
  <si>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</si>
  <si>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</si>
  <si>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</si>
  <si>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</si>
  <si>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</si>
  <si>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</si>
  <si>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</si>
  <si>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</si>
  <si>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</si>
  <si>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</si>
  <si>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</si>
  <si>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</si>
  <si>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</si>
  <si>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</si>
  <si>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</si>
  <si>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</si>
  <si>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</si>
  <si>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</si>
  <si>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</si>
  <si>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</si>
  <si>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</si>
  <si>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</si>
  <si>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</si>
  <si>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</si>
  <si>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</si>
  <si>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</si>
  <si>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</si>
  <si>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</si>
  <si>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</si>
  <si>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</si>
  <si>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</si>
  <si>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</si>
  <si>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</si>
  <si>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</si>
  <si>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</si>
  <si>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</si>
  <si>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</si>
  <si>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</si>
  <si>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</si>
  <si>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</si>
  <si>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</si>
  <si>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</si>
  <si>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</si>
  <si>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</si>
  <si>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</si>
  <si>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</si>
  <si>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</si>
  <si>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</si>
  <si>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</si>
  <si>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</si>
  <si>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</si>
  <si>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</si>
  <si>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</si>
  <si>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</si>
  <si>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</si>
  <si>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</si>
  <si>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</si>
  <si>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</si>
  <si>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</si>
  <si>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</si>
  <si>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</si>
  <si>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</si>
  <si>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</si>
  <si>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</si>
  <si>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</si>
  <si>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</si>
  <si>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</si>
  <si>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</si>
  <si>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</si>
  <si>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</si>
  <si>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</si>
  <si>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</si>
  <si>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</si>
  <si>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</si>
  <si>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</si>
  <si>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</si>
  <si>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</si>
  <si>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</si>
  <si>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</si>
  <si>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</si>
  <si>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</si>
  <si>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</si>
  <si>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</si>
  <si>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</si>
  <si>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</si>
  <si>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</si>
  <si>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</si>
  <si>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</si>
  <si>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</si>
  <si>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</si>
  <si>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</si>
  <si>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</si>
  <si>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</si>
  <si>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</si>
  <si>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</si>
  <si>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</si>
  <si>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</si>
  <si>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</si>
  <si>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</si>
  <si>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</si>
  <si>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</si>
  <si>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</si>
  <si>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</si>
  <si>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</si>
  <si>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</si>
  <si>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</si>
  <si>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</si>
  <si>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</si>
  <si>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</si>
  <si>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</si>
  <si>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</si>
  <si>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</si>
  <si>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</si>
  <si>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</si>
  <si>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</si>
  <si>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</si>
  <si>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</si>
  <si>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</si>
  <si>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</si>
  <si>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</si>
  <si>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</si>
  <si>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</si>
  <si>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</si>
  <si>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</si>
  <si>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</si>
  <si>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</si>
  <si>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</si>
  <si>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</si>
  <si>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</si>
  <si>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</si>
  <si>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</si>
  <si>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</si>
  <si>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</si>
  <si>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</si>
  <si>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</si>
  <si>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</si>
  <si>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</si>
  <si>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</si>
  <si>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</si>
  <si>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</si>
  <si>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</si>
  <si>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</si>
  <si>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</si>
  <si>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</si>
  <si>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</si>
  <si>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</si>
  <si>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</si>
  <si>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</si>
  <si>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</si>
  <si>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</si>
  <si>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</si>
  <si>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</si>
  <si>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</si>
  <si>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</si>
  <si>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</si>
  <si>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</si>
  <si>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</si>
  <si>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</si>
  <si>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</si>
  <si>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</si>
  <si>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</si>
  <si>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</si>
  <si>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</si>
  <si>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</si>
  <si>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</si>
  <si>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</si>
  <si>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</si>
  <si>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</si>
  <si>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</si>
  <si>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</si>
  <si>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</si>
  <si>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</si>
  <si>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</si>
  <si>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</si>
  <si>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</si>
  <si>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</si>
  <si>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</si>
  <si>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</si>
  <si>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</si>
  <si>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</si>
  <si>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</si>
  <si>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</si>
  <si>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</si>
  <si>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</si>
  <si>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</si>
  <si>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</si>
  <si>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</si>
  <si>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</si>
  <si>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</si>
  <si>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</si>
  <si>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</si>
  <si>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</si>
  <si>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</si>
  <si>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</si>
  <si>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</si>
  <si>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</si>
  <si>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</si>
  <si>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</si>
  <si>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</si>
  <si>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</si>
  <si>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</si>
  <si>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</si>
  <si>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</si>
  <si>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</si>
  <si>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</si>
  <si>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</si>
  <si>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</si>
  <si>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</si>
  <si>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</si>
  <si>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</si>
  <si>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</si>
  <si>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</si>
  <si>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</si>
  <si>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</si>
  <si>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</si>
  <si>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</si>
  <si>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</si>
  <si>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</si>
  <si>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</si>
  <si>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</si>
  <si>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</si>
  <si>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</si>
  <si>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</si>
  <si>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</si>
  <si>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</si>
  <si>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</si>
  <si>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</si>
  <si>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</si>
  <si>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</si>
  <si>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</si>
  <si>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</si>
  <si>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</si>
  <si>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</si>
  <si>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</si>
  <si>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</si>
  <si>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</si>
  <si>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</si>
  <si>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</si>
  <si>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</si>
  <si>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</si>
  <si>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</si>
  <si>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</si>
  <si>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</si>
  <si>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</si>
  <si>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</si>
  <si>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</si>
  <si>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</si>
  <si>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</si>
  <si>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</si>
  <si>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</si>
  <si>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</si>
  <si>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</si>
  <si>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</si>
  <si>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</si>
  <si>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</si>
  <si>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</si>
  <si>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</si>
  <si>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</si>
  <si>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</si>
  <si>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</si>
  <si>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</si>
  <si>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</si>
  <si>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</si>
  <si>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</si>
  <si>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</si>
  <si>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</si>
  <si>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</si>
  <si>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</si>
  <si>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</si>
  <si>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</si>
  <si>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</si>
  <si>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</si>
  <si>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</si>
  <si>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</si>
  <si>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</si>
  <si>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</si>
  <si>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</si>
  <si>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</si>
  <si>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</si>
  <si>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</si>
  <si>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</si>
  <si>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</si>
  <si>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</si>
  <si>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</si>
  <si>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</si>
  <si>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</si>
  <si>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</si>
  <si>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</si>
  <si>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</si>
  <si>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</si>
  <si>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</si>
  <si>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</si>
  <si>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</si>
  <si>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</si>
  <si>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</si>
  <si>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</si>
  <si>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</si>
  <si>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</si>
  <si>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</si>
  <si>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</si>
  <si>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</si>
  <si>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</si>
  <si>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</si>
  <si>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</si>
  <si>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</si>
  <si>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</si>
  <si>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</si>
  <si>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</si>
  <si>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</si>
  <si>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</si>
  <si>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</si>
  <si>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</si>
  <si>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</si>
  <si>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</si>
  <si>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</si>
  <si>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</si>
  <si>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</si>
  <si>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</si>
  <si>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</si>
  <si>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</si>
  <si>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</si>
  <si>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</si>
  <si>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</si>
  <si>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</si>
  <si>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</si>
  <si>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</si>
  <si>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</si>
  <si>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</si>
  <si>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</si>
  <si>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</si>
  <si>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</si>
  <si>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</si>
  <si>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</si>
  <si>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</si>
  <si>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</si>
  <si>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</si>
  <si>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</si>
  <si>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</si>
  <si>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</si>
  <si>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</si>
  <si>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</si>
  <si>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</si>
  <si>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</si>
  <si>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</si>
  <si>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</si>
  <si>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</si>
  <si>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</si>
  <si>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</si>
  <si>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</si>
  <si>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</si>
  <si>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</si>
  <si>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</si>
  <si>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</si>
  <si>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</si>
  <si>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</si>
  <si>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</si>
  <si>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</si>
  <si>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</si>
  <si>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</si>
  <si>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</si>
  <si>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</si>
  <si>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</si>
  <si>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</si>
  <si>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</si>
  <si>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</si>
  <si>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</si>
  <si>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</si>
  <si>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</si>
  <si>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</si>
  <si>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</si>
  <si>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</si>
  <si>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</si>
  <si>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</si>
  <si>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</si>
  <si>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</si>
  <si>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</si>
  <si>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</si>
  <si>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</si>
  <si>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</si>
  <si>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</si>
  <si>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</si>
  <si>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</si>
  <si>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</si>
  <si>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</si>
  <si>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</si>
  <si>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</si>
  <si>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</si>
  <si>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</si>
  <si>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</si>
  <si>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</si>
  <si>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</si>
  <si>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</si>
  <si>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</si>
  <si>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</si>
  <si>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</si>
  <si>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</si>
  <si>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</si>
  <si>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</si>
  <si>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</si>
  <si>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</si>
  <si>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</si>
  <si>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</si>
  <si>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</si>
  <si>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</si>
  <si>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</si>
  <si>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</si>
  <si>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</si>
  <si>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</si>
  <si>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</si>
  <si>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</si>
  <si>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</si>
  <si>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</si>
  <si>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</si>
  <si>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</si>
  <si>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</si>
  <si>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</si>
  <si>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</si>
  <si>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</si>
  <si>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</si>
  <si>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</si>
  <si>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</si>
  <si>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</si>
  <si>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</si>
  <si>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</si>
  <si>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</si>
  <si>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</si>
  <si>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</si>
  <si>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</si>
  <si>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</si>
  <si>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</si>
  <si>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</si>
  <si>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</si>
  <si>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</si>
  <si>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</si>
  <si>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</si>
  <si>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</si>
  <si>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</si>
  <si>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</si>
  <si>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</si>
  <si>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</si>
  <si>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</si>
  <si>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</si>
  <si>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</si>
  <si>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</si>
  <si>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</si>
  <si>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</si>
  <si>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</si>
  <si>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</si>
  <si>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</si>
  <si>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</si>
  <si>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</si>
  <si>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</si>
  <si>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</si>
  <si>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</si>
  <si>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</si>
  <si>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</si>
  <si>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</si>
  <si>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</si>
  <si>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</si>
  <si>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</si>
  <si>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</si>
  <si>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</si>
  <si>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</si>
  <si>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</si>
  <si>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</si>
  <si>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</si>
  <si>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</si>
  <si>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</si>
  <si>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</si>
  <si>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</si>
  <si>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</si>
  <si>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</si>
  <si>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</si>
  <si>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</si>
  <si>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</si>
  <si>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</si>
  <si>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</si>
  <si>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</si>
  <si>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</si>
  <si>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</si>
  <si>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</si>
  <si>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</si>
  <si>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</si>
  <si>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</si>
  <si>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</si>
  <si>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</si>
  <si>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</si>
  <si>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</si>
  <si>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</si>
  <si>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</si>
  <si>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</si>
  <si>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</si>
  <si>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</si>
  <si>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</si>
  <si>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</si>
  <si>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</si>
  <si>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</si>
  <si>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</si>
  <si>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</si>
  <si>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</si>
  <si>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</si>
  <si>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</si>
  <si>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</si>
  <si>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</si>
  <si>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</si>
  <si>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</si>
  <si>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</si>
  <si>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</si>
  <si>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</si>
  <si>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</si>
  <si>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</si>
  <si>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</si>
  <si>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</si>
  <si>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</si>
  <si>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</si>
  <si>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</si>
  <si>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</si>
  <si>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</si>
  <si>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</si>
  <si>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</si>
  <si>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</si>
  <si>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</si>
  <si>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</si>
  <si>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</si>
  <si>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</si>
  <si>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</si>
  <si>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</si>
  <si>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</si>
  <si>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</si>
  <si>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</si>
  <si>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</si>
  <si>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</si>
  <si>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</si>
  <si>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</si>
  <si>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</si>
  <si>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</si>
  <si>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</si>
  <si>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</si>
  <si>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</si>
  <si>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</si>
  <si>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</si>
  <si>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</si>
  <si>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</si>
  <si>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</si>
  <si>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</si>
  <si>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</si>
  <si>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</si>
  <si>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</si>
  <si>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</si>
  <si>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</si>
  <si>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</si>
  <si>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</si>
  <si>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</si>
  <si>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</si>
  <si>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</si>
  <si>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</si>
  <si>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</si>
  <si>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</si>
  <si>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</si>
  <si>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</si>
  <si>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</si>
  <si>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</si>
  <si>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</si>
  <si>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</si>
  <si>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</si>
  <si>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</si>
  <si>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</si>
  <si>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</si>
  <si>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</si>
  <si>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</si>
  <si>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</si>
  <si>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</si>
  <si>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</si>
  <si>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</si>
  <si>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</si>
  <si>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</si>
  <si>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</si>
  <si>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</si>
  <si>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</si>
  <si>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</si>
  <si>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</si>
  <si>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</si>
  <si>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</si>
  <si>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</si>
  <si>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</si>
  <si>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</si>
  <si>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</si>
  <si>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</si>
  <si>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</si>
  <si>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</si>
  <si>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</si>
  <si>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</si>
  <si>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</si>
  <si>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</si>
  <si>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</si>
  <si>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</si>
  <si>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</si>
  <si>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</si>
  <si>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</si>
  <si>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</si>
  <si>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</si>
  <si>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</si>
  <si>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</si>
  <si>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</si>
  <si>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</si>
  <si>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</si>
  <si>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</si>
  <si>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</si>
  <si>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</si>
  <si>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</si>
  <si>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</si>
  <si>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</si>
  <si>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</si>
  <si>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</si>
  <si>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</si>
  <si>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</si>
  <si>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</si>
  <si>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</si>
  <si>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</si>
  <si>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</si>
  <si>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</si>
  <si>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</si>
  <si>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</si>
  <si>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</si>
  <si>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</si>
  <si>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</si>
  <si>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</si>
  <si>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</si>
  <si>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</si>
  <si>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</si>
  <si>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</si>
  <si>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</si>
  <si>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</si>
  <si>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</si>
  <si>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</si>
  <si>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</si>
  <si>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</si>
  <si>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</si>
  <si>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</si>
  <si>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</si>
  <si>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</si>
  <si>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</si>
  <si>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</si>
  <si>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</si>
  <si>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</si>
  <si>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</si>
  <si>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</si>
  <si>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</si>
  <si>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</si>
  <si>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</si>
  <si>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</si>
  <si>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</si>
  <si>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</si>
  <si>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</si>
  <si>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</si>
  <si>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</si>
  <si>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</si>
  <si>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</si>
  <si>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</si>
  <si>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</si>
  <si>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</si>
  <si>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</si>
  <si>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</si>
  <si>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</si>
  <si>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</si>
  <si>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</si>
  <si>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</si>
  <si>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</si>
  <si>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</si>
  <si>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</si>
  <si>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</si>
  <si>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</si>
  <si>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</si>
  <si>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</si>
  <si>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</si>
  <si>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</si>
  <si>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</si>
  <si>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</si>
  <si>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</si>
  <si>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</si>
  <si>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</si>
  <si>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</si>
  <si>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</si>
  <si>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</si>
  <si>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</si>
  <si>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</si>
  <si>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</si>
  <si>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</si>
  <si>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</si>
  <si>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</si>
  <si>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</si>
  <si>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</si>
  <si>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</si>
  <si>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</si>
  <si>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</si>
  <si>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</si>
  <si>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</si>
  <si>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</si>
  <si>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</si>
  <si>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</si>
  <si>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</si>
  <si>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</si>
  <si>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</si>
  <si>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</si>
  <si>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</si>
  <si>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</si>
  <si>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</si>
  <si>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</si>
  <si>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</si>
  <si>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</si>
  <si>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</si>
  <si>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</si>
  <si>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</si>
  <si>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</si>
  <si>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</si>
  <si>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</si>
  <si>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</si>
  <si>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</si>
  <si>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</si>
  <si>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</si>
  <si>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</si>
  <si>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</si>
  <si>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</si>
  <si>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</si>
  <si>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</si>
  <si>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</si>
  <si>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</si>
  <si>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</si>
  <si>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</si>
  <si>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</si>
  <si>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</si>
  <si>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</si>
  <si>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</si>
  <si>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</si>
  <si>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</si>
  <si>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</si>
  <si>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</si>
  <si>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</si>
  <si>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</si>
  <si>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</si>
  <si>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</si>
  <si>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</si>
  <si>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</si>
  <si>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</si>
  <si>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</si>
  <si>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</si>
  <si>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</si>
  <si>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</si>
  <si>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</si>
  <si>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</si>
  <si>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</si>
  <si>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</si>
  <si>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</si>
  <si>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</si>
  <si>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</si>
  <si>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</si>
  <si>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</si>
  <si>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</si>
  <si>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</si>
  <si>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</si>
  <si>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</si>
  <si>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</si>
  <si>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</si>
  <si>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</si>
  <si>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</si>
  <si>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</si>
  <si>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</si>
  <si>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</si>
  <si>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</si>
  <si>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</si>
  <si>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</si>
  <si>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</si>
  <si>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</si>
  <si>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</si>
  <si>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</si>
  <si>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</si>
  <si>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</si>
  <si>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</si>
  <si>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</si>
  <si>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</si>
  <si>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</si>
  <si>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</si>
  <si>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</si>
  <si>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</si>
  <si>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</si>
  <si>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</si>
  <si>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</si>
  <si>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</si>
  <si>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</si>
  <si>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</si>
  <si>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</si>
  <si>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</si>
  <si>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</si>
  <si>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</si>
  <si>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</si>
  <si>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</si>
  <si>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</si>
  <si>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</si>
  <si>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</si>
  <si>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</si>
  <si>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</si>
  <si>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</si>
  <si>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</si>
  <si>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</si>
  <si>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</si>
  <si>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</si>
  <si>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</si>
  <si>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</si>
  <si>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</si>
  <si>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</si>
  <si>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</si>
  <si>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</si>
  <si>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</si>
  <si>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</si>
  <si>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</si>
  <si>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</si>
  <si>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</si>
  <si>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</si>
  <si>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</si>
  <si>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</si>
  <si>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</si>
  <si>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</si>
  <si>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</si>
  <si>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</si>
  <si>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</si>
  <si>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</si>
  <si>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</si>
  <si>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</si>
  <si>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</si>
  <si>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</si>
  <si>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</si>
  <si>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</si>
  <si>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</si>
  <si>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</si>
  <si>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</si>
  <si>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</si>
  <si>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</si>
  <si>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</si>
  <si>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</si>
  <si>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</si>
  <si>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</si>
  <si>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</si>
  <si>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</si>
  <si>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</si>
  <si>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</si>
  <si>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</si>
  <si>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</si>
  <si>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</si>
  <si>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</si>
  <si>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</si>
  <si>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</si>
  <si>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</si>
  <si>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</si>
  <si>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</si>
  <si>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</si>
  <si>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</si>
  <si>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</si>
  <si>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</si>
  <si>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</si>
  <si>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</si>
  <si>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</si>
  <si>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</si>
  <si>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</si>
  <si>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</si>
  <si>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</si>
  <si>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</si>
  <si>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</si>
  <si>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</si>
  <si>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</si>
  <si>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</si>
  <si>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</si>
  <si>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</si>
  <si>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</si>
  <si>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</si>
  <si>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</si>
  <si>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</si>
  <si>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</si>
  <si>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</si>
  <si>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</si>
  <si>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</si>
  <si>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</si>
  <si>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</si>
  <si>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</si>
  <si>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</si>
  <si>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</si>
  <si>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</si>
  <si>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</si>
  <si>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</si>
  <si>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</si>
  <si>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</si>
  <si>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</si>
  <si>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</si>
  <si>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</si>
  <si>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</si>
  <si>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</si>
  <si>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</si>
  <si>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</si>
  <si>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</si>
  <si>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</si>
  <si>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</si>
  <si>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</si>
  <si>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</si>
  <si>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</si>
  <si>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</si>
  <si>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</si>
  <si>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</si>
  <si>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</si>
  <si>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</si>
  <si>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</si>
  <si>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</si>
  <si>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</si>
  <si>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</si>
  <si>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</si>
  <si>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</si>
  <si>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</si>
  <si>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</si>
  <si>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</si>
  <si>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</si>
  <si>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</si>
  <si>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</si>
  <si>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</si>
  <si>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</si>
  <si>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</si>
  <si>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</si>
  <si>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</si>
  <si>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</si>
  <si>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</si>
  <si>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</si>
  <si>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</si>
  <si>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</si>
  <si>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</si>
  <si>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</si>
  <si>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</si>
  <si>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</si>
  <si>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</si>
  <si>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</si>
  <si>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</si>
  <si>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</si>
  <si>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</si>
  <si>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</si>
  <si>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</si>
  <si>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</si>
  <si>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</si>
  <si>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</si>
  <si>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</si>
  <si>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</si>
  <si>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</si>
  <si>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</si>
  <si>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</si>
  <si>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</si>
  <si>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</si>
  <si>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</si>
  <si>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</si>
  <si>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</si>
  <si>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</si>
  <si>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</si>
  <si>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</si>
  <si>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</si>
  <si>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</si>
  <si>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</si>
  <si>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</si>
  <si>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</si>
  <si>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</si>
  <si>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</si>
  <si>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</si>
  <si>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</si>
  <si>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</si>
  <si>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</si>
  <si>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</si>
  <si>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</si>
  <si>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</si>
  <si>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</si>
  <si>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</si>
  <si>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</si>
  <si>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</si>
  <si>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</si>
  <si>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</si>
  <si>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</si>
  <si>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</si>
  <si>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</si>
  <si>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</si>
  <si>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</si>
  <si>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</si>
  <si>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</si>
  <si>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</si>
  <si>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</si>
  <si>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</si>
  <si>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</si>
  <si>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</si>
  <si>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</si>
  <si>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</si>
  <si>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</si>
  <si>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</si>
  <si>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</si>
  <si>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</si>
  <si>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</si>
  <si>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</si>
  <si>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</si>
  <si>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</si>
  <si>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</si>
  <si>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</si>
  <si>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</si>
  <si>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</si>
  <si>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</si>
  <si>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</si>
  <si>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</si>
  <si>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</si>
  <si>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</si>
  <si>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</si>
  <si>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</si>
  <si>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</si>
  <si>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</si>
  <si>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</si>
  <si>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</si>
  <si>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</si>
  <si>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</si>
  <si>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</si>
  <si>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</si>
  <si>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</si>
  <si>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</si>
  <si>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</si>
  <si>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</si>
  <si>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</si>
  <si>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</si>
  <si>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</si>
  <si>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</si>
  <si>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</si>
  <si>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</si>
  <si>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</si>
  <si>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</si>
  <si>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</si>
  <si>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</si>
  <si>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</si>
  <si>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</si>
  <si>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</si>
  <si>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</si>
  <si>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</si>
  <si>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</si>
  <si>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</si>
  <si>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</si>
  <si>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</si>
  <si>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</si>
  <si>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</si>
  <si>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</si>
  <si>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</si>
  <si>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</si>
  <si>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</si>
  <si>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</si>
  <si>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</si>
  <si>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</si>
  <si>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</si>
  <si>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</si>
  <si>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</si>
  <si>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</si>
  <si>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</si>
  <si>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</si>
  <si>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</si>
  <si>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</si>
  <si>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</si>
  <si>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</si>
  <si>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</si>
  <si>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</si>
  <si>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</si>
  <si>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</si>
  <si>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</si>
  <si>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</si>
  <si>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</si>
  <si>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</si>
  <si>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</si>
  <si>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</si>
  <si>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</si>
  <si>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</si>
  <si>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</si>
  <si>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</si>
  <si>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</si>
  <si>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</si>
  <si>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</si>
  <si>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</si>
  <si>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</si>
  <si>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</si>
  <si>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</si>
  <si>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</si>
  <si>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</si>
  <si>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</si>
  <si>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</si>
  <si>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</si>
  <si>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</si>
  <si>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</si>
  <si>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</si>
  <si>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</si>
  <si>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</si>
  <si>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</si>
  <si>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</si>
  <si>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</si>
  <si>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</si>
  <si>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</si>
  <si>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</si>
  <si>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</si>
  <si>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</si>
  <si>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</si>
  <si>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</si>
  <si>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</si>
  <si>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</si>
  <si>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</si>
  <si>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</si>
  <si>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</si>
  <si>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</si>
  <si>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</si>
  <si>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</si>
  <si>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</si>
  <si>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</si>
  <si>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</si>
  <si>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</si>
  <si>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</si>
  <si>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</si>
  <si>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</si>
  <si>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</si>
  <si>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</si>
  <si>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</si>
  <si>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</si>
  <si>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</si>
  <si>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</si>
  <si>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</si>
  <si>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</si>
  <si>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</si>
  <si>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</si>
  <si>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</si>
  <si>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</si>
  <si>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</si>
  <si>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</si>
  <si>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</si>
  <si>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</si>
  <si>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</si>
  <si>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</si>
  <si>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</si>
  <si>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</si>
  <si>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</si>
  <si>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</si>
  <si>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</si>
  <si>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</si>
  <si>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</si>
  <si>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</si>
  <si>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</si>
  <si>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</si>
  <si>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</si>
  <si>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</si>
  <si>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</si>
  <si>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</si>
  <si>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</si>
  <si>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</si>
  <si>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</si>
  <si>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</si>
  <si>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</si>
  <si>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</si>
  <si>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</si>
  <si>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</si>
  <si>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</si>
  <si>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</si>
  <si>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</si>
  <si>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</si>
  <si>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</si>
  <si>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</si>
  <si>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</si>
  <si>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</si>
  <si>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</si>
  <si>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</si>
  <si>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</si>
  <si>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</si>
  <si>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</si>
  <si>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</si>
  <si>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</si>
  <si>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</si>
  <si>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</si>
  <si>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</si>
  <si>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</si>
  <si>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</si>
  <si>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</si>
  <si>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</si>
  <si>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</si>
  <si>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</si>
  <si>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</si>
  <si>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</si>
  <si>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</si>
  <si>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</si>
  <si>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</si>
  <si>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</si>
  <si>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</si>
  <si>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</si>
  <si>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</si>
  <si>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</si>
  <si>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</si>
  <si>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</si>
  <si>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</si>
  <si>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</si>
  <si>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</si>
  <si>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</si>
  <si>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</si>
  <si>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</si>
  <si>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</si>
  <si>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</si>
  <si>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</si>
  <si>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</si>
  <si>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</si>
  <si>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</si>
  <si>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</si>
  <si>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</si>
  <si>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</si>
  <si>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</si>
  <si>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</si>
  <si>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</si>
  <si>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</si>
  <si>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</si>
  <si>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</si>
  <si>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</si>
  <si>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</si>
  <si>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</si>
  <si>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</si>
  <si>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</si>
  <si>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</si>
  <si>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</si>
  <si>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</si>
  <si>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</si>
  <si>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</si>
  <si>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</si>
  <si>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</si>
  <si>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</si>
  <si>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</si>
  <si>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</si>
  <si>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</si>
  <si>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</si>
  <si>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</si>
  <si>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</si>
  <si>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</si>
  <si>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</si>
  <si>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</si>
  <si>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</si>
  <si>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</si>
  <si>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</si>
  <si>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</si>
  <si>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</si>
  <si>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</si>
  <si>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</si>
  <si>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</si>
  <si>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</si>
  <si>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</si>
  <si>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</si>
  <si>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</si>
  <si>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</si>
  <si>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</si>
  <si>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</si>
  <si>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</si>
  <si>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</si>
  <si>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</si>
  <si>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</si>
  <si>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</si>
  <si>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</si>
  <si>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</si>
  <si>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</si>
  <si>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</si>
  <si>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</si>
  <si>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</si>
  <si>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</si>
  <si>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</si>
  <si>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</si>
  <si>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</si>
  <si>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</si>
  <si>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</si>
  <si>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</si>
  <si>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</si>
  <si>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</si>
  <si>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</si>
  <si>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</si>
  <si>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</si>
  <si>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</si>
  <si>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</si>
  <si>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</si>
  <si>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</si>
  <si>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</si>
  <si>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</si>
  <si>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</si>
  <si>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</si>
  <si>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</si>
  <si>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</si>
  <si>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</si>
  <si>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</si>
  <si>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</si>
  <si>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</si>
  <si>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</si>
  <si>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</si>
  <si>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</si>
  <si>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</si>
  <si>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</si>
  <si>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</si>
  <si>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</si>
  <si>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</si>
  <si>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</si>
  <si>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</si>
  <si>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</si>
  <si>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</si>
  <si>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</si>
  <si>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</si>
  <si>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</si>
  <si>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</si>
  <si>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</si>
  <si>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</si>
  <si>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</si>
  <si>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</si>
  <si>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</si>
  <si>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</si>
  <si>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</si>
  <si>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</si>
  <si>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</si>
  <si>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</si>
  <si>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</si>
  <si>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</si>
  <si>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</si>
  <si>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</si>
  <si>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</si>
  <si>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</si>
  <si>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</si>
  <si>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</si>
  <si>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</si>
  <si>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</si>
  <si>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</si>
  <si>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</si>
  <si>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</si>
  <si>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</si>
  <si>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</si>
  <si>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</si>
  <si>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</si>
  <si>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</si>
  <si>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</si>
  <si>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</si>
  <si>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</si>
  <si>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</si>
  <si>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</si>
  <si>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</si>
  <si>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</si>
  <si>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</si>
  <si>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</si>
  <si>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</si>
  <si>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</si>
  <si>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</si>
  <si>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</si>
  <si>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</si>
  <si>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</si>
  <si>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</si>
  <si>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</si>
  <si>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</si>
  <si>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</si>
  <si>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</si>
  <si>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</si>
  <si>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</si>
  <si>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</si>
  <si>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</si>
  <si>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</si>
  <si>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</si>
  <si>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</si>
  <si>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</si>
  <si>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</si>
  <si>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</si>
  <si>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</si>
  <si>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</si>
  <si>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</si>
  <si>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</si>
  <si>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</si>
  <si>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</si>
  <si>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</si>
  <si>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</si>
  <si>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</si>
  <si>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</si>
  <si>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</si>
  <si>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</si>
  <si>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</si>
  <si>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</si>
  <si>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</si>
  <si>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</si>
  <si>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</si>
  <si>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</si>
  <si>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</si>
  <si>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</si>
  <si>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</si>
  <si>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</si>
  <si>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</si>
  <si>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</si>
  <si>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</si>
  <si>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</si>
  <si>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</si>
  <si>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</si>
  <si>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</si>
  <si>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</si>
  <si>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</si>
  <si>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</si>
  <si>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</si>
  <si>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</si>
  <si>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</si>
  <si>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</si>
  <si>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</si>
  <si>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</si>
  <si>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</si>
  <si>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</si>
  <si>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</si>
  <si>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</si>
  <si>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</si>
  <si>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</si>
  <si>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</si>
  <si>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</si>
  <si>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</si>
  <si>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</si>
  <si>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</si>
  <si>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</si>
  <si>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</si>
  <si>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</si>
  <si>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</si>
  <si>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</si>
  <si>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</si>
  <si>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</si>
  <si>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</si>
  <si>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</si>
  <si>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</si>
  <si>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</si>
  <si>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</si>
  <si>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</si>
  <si>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</si>
  <si>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</si>
  <si>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</si>
  <si>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</si>
  <si>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</si>
  <si>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</si>
  <si>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</si>
  <si>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</si>
  <si>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</si>
  <si>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</si>
  <si>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</si>
  <si>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</si>
  <si>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</si>
  <si>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</si>
  <si>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</si>
  <si>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</si>
  <si>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</si>
  <si>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</si>
  <si>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</si>
  <si>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</si>
  <si>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</si>
  <si>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</si>
  <si>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</si>
  <si>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</si>
  <si>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</si>
  <si>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</si>
  <si>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</si>
  <si>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</si>
  <si>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</si>
  <si>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</si>
  <si>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</si>
  <si>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</si>
  <si>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</si>
  <si>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</si>
  <si>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</si>
  <si>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</si>
  <si>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</si>
  <si>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</si>
  <si>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</si>
  <si>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</si>
  <si>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</si>
  <si>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</si>
  <si>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</si>
  <si>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</si>
  <si>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</si>
  <si>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</si>
  <si>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</si>
  <si>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</si>
  <si>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</si>
  <si>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</si>
  <si>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</si>
  <si>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</si>
  <si>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</si>
  <si>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</si>
  <si>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</si>
  <si>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</si>
  <si>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</si>
  <si>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</si>
  <si>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</si>
  <si>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</si>
  <si>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</si>
  <si>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</si>
  <si>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</si>
  <si>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</si>
  <si>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</si>
  <si>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</si>
  <si>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</si>
  <si>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</si>
  <si>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</si>
  <si>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</si>
  <si>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</si>
  <si>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</si>
  <si>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</si>
  <si>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</si>
  <si>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</si>
  <si>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</si>
  <si>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</si>
  <si>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</si>
  <si>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</si>
  <si>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</si>
  <si>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</si>
  <si>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</si>
  <si>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</si>
  <si>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</si>
  <si>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</si>
  <si>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</si>
  <si>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</si>
  <si>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</si>
  <si>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</si>
  <si>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</si>
  <si>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</si>
  <si>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</si>
  <si>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</si>
  <si>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</si>
  <si>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</si>
  <si>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</si>
  <si>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</si>
  <si>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</si>
  <si>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</si>
  <si>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</si>
  <si>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</si>
  <si>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</si>
  <si>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</si>
  <si>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</si>
  <si>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</si>
  <si>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</si>
  <si>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</si>
  <si>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</si>
  <si>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</si>
  <si>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</si>
  <si>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</si>
  <si>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</si>
  <si>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</si>
  <si>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</si>
  <si>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</si>
  <si>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</si>
  <si>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</si>
  <si>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</si>
  <si>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</si>
  <si>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</si>
  <si>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</si>
  <si>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</si>
  <si>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</si>
  <si>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</si>
  <si>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</si>
  <si>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</si>
  <si>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</si>
  <si>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</si>
  <si>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</si>
  <si>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</si>
  <si>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</si>
  <si>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</si>
  <si>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</si>
  <si>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</si>
  <si>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</si>
  <si>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</si>
  <si>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</si>
  <si>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</si>
  <si>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</si>
  <si>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</si>
  <si>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</si>
  <si>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</si>
  <si>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</si>
  <si>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</si>
  <si>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</si>
  <si>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</si>
  <si>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</si>
  <si>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</si>
  <si>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</si>
  <si>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</si>
  <si>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</si>
  <si>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</si>
  <si>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</si>
  <si>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</si>
  <si>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</si>
  <si>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</si>
  <si>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</si>
  <si>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</si>
  <si>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</si>
  <si>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</si>
  <si>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</si>
  <si>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</si>
  <si>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</si>
  <si>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</si>
  <si>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</si>
  <si>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</si>
  <si>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</si>
  <si>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</si>
  <si>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</si>
  <si>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</si>
  <si>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</si>
  <si>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</si>
  <si>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</si>
  <si>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</si>
  <si>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</si>
  <si>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</si>
  <si>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</si>
  <si>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</si>
  <si>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</si>
  <si>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</si>
  <si>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</si>
  <si>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</si>
  <si>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</si>
  <si>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</si>
  <si>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</si>
  <si>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</si>
  <si>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</si>
  <si>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</si>
  <si>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</si>
  <si>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</si>
  <si>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</si>
  <si>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</si>
  <si>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</si>
  <si>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</si>
  <si>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</si>
  <si>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</si>
  <si>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</si>
  <si>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</si>
  <si>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</si>
  <si>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</si>
  <si>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</si>
  <si>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</si>
  <si>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</si>
  <si>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</si>
  <si>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</si>
  <si>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</si>
  <si>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</si>
  <si>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</si>
  <si>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</si>
  <si>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</si>
  <si>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</si>
  <si>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</si>
  <si>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</si>
  <si>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</si>
  <si>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</si>
  <si>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</si>
  <si>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</si>
  <si>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</si>
  <si>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</si>
  <si>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</si>
  <si>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</si>
  <si>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</si>
  <si>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</si>
  <si>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</si>
  <si>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</si>
  <si>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</si>
  <si>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</si>
  <si>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</si>
  <si>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</si>
  <si>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</si>
  <si>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</si>
  <si>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</si>
  <si>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</si>
  <si>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</si>
  <si>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</si>
  <si>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</si>
  <si>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</si>
  <si>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</si>
  <si>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</si>
  <si>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</si>
  <si>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</si>
  <si>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</si>
  <si>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</si>
  <si>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</si>
  <si>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</si>
  <si>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</si>
  <si>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</si>
  <si>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</si>
  <si>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</si>
  <si>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</si>
  <si>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</si>
  <si>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</si>
  <si>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</si>
  <si>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</si>
  <si>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</si>
  <si>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</si>
  <si>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</si>
  <si>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</si>
  <si>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</si>
  <si>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</si>
  <si>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</si>
  <si>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</si>
  <si>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</si>
  <si>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</si>
  <si>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</si>
  <si>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</si>
  <si>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</si>
  <si>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</si>
  <si>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</si>
  <si>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</si>
  <si>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</si>
  <si>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</si>
  <si>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</si>
  <si>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</si>
  <si>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</si>
  <si>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</si>
  <si>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</si>
  <si>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</si>
  <si>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</si>
  <si>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</si>
  <si>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</si>
  <si>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</si>
  <si>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</si>
  <si>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</si>
  <si>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</si>
  <si>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</si>
  <si>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</si>
  <si>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</si>
  <si>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</si>
  <si>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</si>
  <si>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</si>
  <si>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</si>
  <si>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</si>
  <si>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</si>
  <si>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</si>
  <si>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</si>
  <si>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</si>
  <si>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</si>
  <si>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</si>
  <si>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</si>
  <si>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</si>
  <si>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</si>
  <si>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</si>
  <si>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</si>
  <si>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</si>
  <si>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</si>
  <si>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</si>
  <si>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</si>
  <si>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</si>
  <si>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</si>
  <si>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</si>
  <si>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</si>
  <si>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</si>
  <si>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</si>
  <si>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</si>
  <si>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</si>
  <si>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</si>
  <si>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</si>
  <si>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</si>
  <si>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</si>
  <si>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</si>
  <si>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</si>
  <si>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</si>
  <si>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</si>
  <si>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</si>
  <si>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</si>
  <si>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</si>
  <si>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</si>
  <si>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</si>
  <si>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</si>
  <si>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</si>
  <si>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</si>
  <si>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</si>
  <si>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</si>
  <si>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</si>
  <si>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</si>
  <si>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</si>
  <si>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</si>
  <si>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</si>
  <si>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</si>
  <si>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</si>
  <si>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</si>
  <si>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</si>
  <si>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</si>
  <si>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</si>
  <si>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</si>
  <si>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</si>
  <si>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</si>
  <si>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</si>
  <si>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</si>
  <si>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</si>
  <si>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</si>
  <si>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</si>
  <si>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</si>
  <si>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</si>
  <si>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</si>
  <si>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</si>
  <si>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</si>
  <si>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</si>
  <si>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</si>
  <si>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</si>
  <si>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</si>
  <si>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</si>
  <si>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</si>
  <si>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</si>
  <si>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</si>
  <si>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</si>
  <si>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</si>
  <si>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</si>
  <si>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</si>
  <si>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</si>
  <si>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</si>
  <si>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</si>
  <si>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</si>
  <si>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</si>
  <si>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</si>
  <si>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</si>
  <si>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</si>
  <si>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</si>
  <si>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</si>
  <si>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</si>
  <si>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</si>
  <si>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</si>
  <si>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</si>
  <si>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</si>
  <si>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</si>
  <si>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</si>
  <si>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</si>
  <si>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</si>
  <si>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</si>
  <si>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</si>
  <si>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</si>
  <si>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</si>
  <si>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</si>
  <si>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</si>
  <si>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</si>
  <si>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</si>
  <si>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</si>
  <si>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</si>
  <si>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</si>
  <si>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</si>
  <si>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</si>
  <si>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</si>
  <si>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</si>
  <si>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</si>
  <si>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</si>
  <si>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</si>
  <si>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</si>
  <si>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</si>
  <si>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</si>
  <si>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</si>
  <si>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</si>
  <si>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</si>
  <si>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</si>
  <si>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</si>
  <si>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</si>
  <si>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</si>
  <si>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</si>
  <si>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</si>
  <si>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</si>
  <si>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</si>
  <si>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</si>
  <si>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</si>
  <si>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</si>
  <si>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</si>
  <si>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</si>
  <si>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</si>
  <si>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</si>
  <si>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</si>
  <si>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</si>
  <si>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</si>
  <si>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</si>
  <si>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</si>
  <si>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</si>
  <si>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</si>
  <si>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</si>
  <si>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</si>
  <si>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</si>
  <si>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</si>
  <si>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</si>
  <si>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</si>
  <si>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</si>
  <si>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</si>
  <si>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</si>
  <si>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</si>
  <si>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</si>
  <si>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</si>
  <si>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</si>
  <si>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</si>
  <si>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</si>
  <si>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</si>
  <si>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</si>
  <si>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</si>
  <si>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</si>
  <si>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</si>
  <si>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</si>
  <si>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</si>
  <si>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</si>
  <si>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</si>
  <si>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</si>
  <si>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</si>
  <si>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</si>
  <si>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</si>
  <si>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</si>
  <si>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</si>
  <si>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</si>
  <si>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</si>
  <si>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</si>
  <si>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</si>
  <si>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</si>
  <si>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</si>
  <si>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</si>
  <si>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</si>
  <si>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</si>
  <si>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</si>
  <si>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</si>
  <si>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</si>
  <si>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</si>
  <si>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</si>
  <si>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</si>
  <si>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</si>
  <si>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</si>
  <si>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</si>
  <si>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</si>
  <si>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</si>
  <si>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</si>
  <si>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</si>
  <si>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</si>
  <si>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</si>
  <si>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</si>
  <si>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</si>
  <si>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</si>
  <si>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</si>
  <si>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</si>
  <si>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</si>
  <si>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</si>
  <si>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</si>
  <si>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</si>
  <si>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</si>
  <si>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</si>
  <si>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</si>
  <si>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</si>
  <si>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</si>
  <si>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</si>
  <si>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</si>
  <si>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</si>
  <si>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</si>
  <si>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</si>
  <si>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</si>
  <si>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</si>
  <si>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</si>
  <si>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</si>
  <si>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</si>
  <si>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</si>
  <si>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</si>
  <si>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</si>
  <si>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</si>
  <si>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</si>
  <si>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</si>
  <si>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</si>
  <si>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</si>
  <si>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</si>
  <si>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</si>
  <si>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</si>
  <si>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</si>
  <si>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</si>
  <si>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</si>
  <si>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</si>
  <si>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</si>
  <si>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</si>
  <si>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</si>
  <si>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</si>
  <si>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</si>
  <si>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</si>
  <si>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</si>
  <si>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</si>
  <si>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</si>
  <si>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</si>
  <si>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</si>
  <si>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</si>
  <si>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</si>
  <si>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</si>
  <si>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</si>
  <si>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</si>
  <si>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</si>
  <si>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</si>
  <si>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</si>
  <si>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</si>
  <si>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</si>
  <si>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</si>
  <si>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</si>
  <si>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</si>
  <si>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</si>
  <si>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</si>
  <si>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</si>
  <si>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</si>
  <si>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</si>
  <si>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</si>
  <si>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</si>
  <si>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</si>
  <si>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</si>
  <si>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</si>
  <si>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</si>
  <si>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</si>
  <si>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</si>
  <si>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</si>
  <si>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</si>
  <si>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</si>
  <si>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</si>
  <si>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</si>
  <si>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</si>
  <si>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</si>
  <si>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</si>
  <si>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</si>
  <si>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</si>
  <si>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</si>
  <si>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</si>
  <si>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</si>
  <si>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</si>
  <si>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</si>
  <si>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</si>
  <si>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</si>
  <si>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</si>
  <si>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</si>
  <si>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</si>
  <si>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</si>
  <si>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</si>
  <si>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</si>
  <si>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</si>
  <si>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</si>
  <si>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</si>
  <si>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</si>
  <si>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</si>
  <si>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</si>
  <si>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</si>
  <si>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</si>
  <si>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</si>
  <si>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</si>
  <si>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</si>
  <si>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</si>
  <si>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</si>
  <si>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</si>
  <si>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</si>
  <si>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</si>
  <si>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</si>
  <si>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</si>
  <si>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</si>
  <si>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</si>
  <si>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</si>
  <si>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</si>
  <si>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</si>
  <si>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</si>
  <si>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</si>
  <si>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</si>
  <si>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</si>
  <si>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</si>
  <si>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</si>
  <si>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</si>
  <si>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</si>
  <si>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</si>
  <si>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</si>
  <si>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</si>
  <si>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</si>
  <si>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</si>
  <si>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</si>
  <si>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</si>
  <si>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</si>
  <si>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</si>
  <si>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</si>
  <si>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</si>
  <si>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</si>
  <si>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</si>
  <si>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</si>
  <si>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</si>
  <si>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</si>
  <si>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</si>
  <si>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</si>
  <si>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</si>
  <si>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</si>
  <si>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</si>
  <si>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</si>
  <si>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</si>
  <si>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</si>
  <si>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</si>
  <si>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</si>
  <si>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</si>
  <si>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</si>
  <si>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</si>
  <si>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</si>
  <si>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</si>
  <si>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</si>
  <si>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</si>
  <si>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</si>
  <si>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</si>
  <si>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</si>
  <si>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</si>
  <si>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</si>
  <si>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</si>
  <si>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</si>
  <si>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</si>
  <si>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</si>
  <si>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</si>
  <si>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</si>
  <si>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</si>
  <si>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</si>
  <si>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</si>
  <si>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</si>
  <si>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</si>
  <si>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</si>
  <si>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</si>
  <si>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</si>
  <si>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</si>
  <si>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</si>
  <si>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</si>
  <si>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</si>
  <si>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</si>
  <si>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</si>
  <si>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</si>
  <si>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</si>
  <si>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</si>
  <si>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</si>
  <si>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</si>
  <si>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</si>
  <si>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</si>
  <si>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</si>
  <si>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</si>
  <si>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</si>
  <si>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</si>
  <si>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</si>
  <si>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</si>
  <si>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</si>
  <si>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</si>
  <si>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</si>
  <si>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</si>
  <si>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</si>
  <si>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</si>
  <si>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</si>
  <si>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</si>
  <si>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</si>
  <si>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</si>
  <si>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</si>
  <si>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</si>
  <si>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</si>
  <si>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</si>
  <si>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</si>
  <si>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</si>
  <si>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</si>
  <si>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</si>
  <si>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</si>
  <si>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</si>
  <si>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</si>
  <si>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</si>
  <si>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</si>
  <si>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</si>
  <si>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</si>
  <si>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</si>
  <si>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</si>
  <si>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</si>
  <si>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</si>
  <si>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</si>
  <si>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</si>
  <si>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</si>
  <si>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</si>
  <si>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</si>
  <si>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</si>
  <si>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</si>
  <si>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</si>
  <si>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</si>
  <si>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</si>
  <si>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</si>
  <si>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</si>
  <si>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</si>
  <si>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</si>
  <si>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</si>
  <si>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</si>
  <si>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</si>
  <si>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</si>
  <si>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</si>
  <si>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</si>
  <si>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</si>
  <si>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</si>
  <si>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</si>
  <si>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</si>
  <si>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</si>
  <si>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</si>
  <si>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</si>
  <si>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</si>
  <si>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</si>
  <si>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</si>
  <si>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</si>
  <si>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</si>
  <si>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</si>
  <si>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</si>
  <si>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</si>
  <si>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</si>
  <si>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</si>
  <si>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</si>
  <si>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</si>
  <si>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</si>
  <si>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</si>
  <si>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</si>
  <si>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</si>
  <si>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</si>
  <si>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</si>
  <si>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</si>
  <si>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</si>
  <si>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</si>
  <si>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</si>
  <si>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</si>
  <si>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</si>
  <si>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</si>
  <si>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</si>
  <si>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</si>
  <si>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</si>
  <si>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</si>
  <si>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</si>
  <si>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</si>
  <si>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</si>
  <si>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</si>
  <si>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</si>
  <si>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</si>
  <si>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</si>
  <si>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</si>
  <si>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</si>
  <si>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</si>
  <si>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</si>
  <si>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</si>
  <si>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</si>
  <si>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</si>
  <si>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</si>
  <si>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</si>
  <si>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</si>
  <si>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</si>
  <si>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</si>
  <si>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</si>
  <si>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</si>
  <si>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</si>
  <si>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</si>
  <si>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</si>
  <si>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</si>
  <si>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</si>
  <si>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</si>
  <si>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</si>
  <si>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</si>
  <si>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</si>
  <si>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</si>
  <si>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</si>
  <si>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</si>
  <si>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</si>
  <si>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</si>
  <si>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</si>
  <si>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</si>
  <si>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</si>
  <si>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</si>
  <si>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</si>
  <si>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</si>
  <si>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</si>
  <si>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</si>
  <si>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</si>
  <si>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</si>
  <si>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</si>
  <si>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</si>
  <si>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</si>
  <si>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</si>
  <si>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</si>
  <si>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</si>
  <si>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</si>
  <si>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</si>
  <si>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</si>
  <si>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</si>
  <si>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</si>
  <si>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</si>
  <si>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</si>
  <si>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</si>
  <si>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</si>
  <si>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</si>
  <si>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</si>
  <si>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</si>
  <si>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</si>
  <si>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</si>
  <si>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</si>
  <si>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</si>
  <si>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</si>
  <si>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</si>
  <si>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</si>
  <si>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</si>
  <si>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</si>
  <si>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</si>
  <si>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</si>
  <si>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</si>
  <si>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</si>
  <si>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</si>
  <si>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</si>
  <si>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</si>
  <si>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</si>
  <si>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</si>
  <si>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</si>
  <si>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</si>
  <si>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</si>
  <si>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</si>
  <si>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</si>
  <si>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</si>
  <si>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</si>
  <si>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</si>
  <si>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</si>
  <si>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</si>
  <si>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</si>
  <si>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</si>
  <si>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</si>
  <si>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</si>
  <si>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</si>
  <si>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</si>
  <si>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</si>
  <si>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</si>
  <si>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</si>
  <si>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</si>
  <si>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</si>
  <si>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</si>
  <si>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</si>
  <si>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</si>
  <si>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</si>
  <si>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</si>
  <si>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</si>
  <si>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</si>
  <si>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</si>
  <si>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</si>
  <si>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</si>
  <si>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</si>
  <si>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</si>
  <si>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</si>
  <si>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</si>
  <si>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</si>
  <si>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</si>
  <si>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</si>
  <si>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</si>
  <si>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</si>
  <si>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</si>
  <si>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</si>
  <si>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</si>
  <si>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</si>
  <si>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</si>
  <si>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</si>
  <si>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</si>
  <si>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</si>
  <si>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</si>
  <si>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</si>
  <si>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</si>
  <si>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</si>
  <si>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</si>
  <si>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</si>
  <si>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</si>
  <si>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</si>
  <si>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</si>
  <si>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</si>
  <si>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</si>
  <si>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</si>
  <si>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</si>
  <si>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</si>
  <si>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</si>
  <si>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</si>
  <si>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</si>
  <si>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</si>
  <si>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</si>
  <si>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</si>
  <si>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</si>
  <si>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</si>
  <si>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</si>
  <si>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</si>
  <si>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</si>
  <si>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</si>
  <si>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</si>
  <si>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</si>
  <si>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</si>
  <si>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</si>
  <si>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</si>
  <si>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</si>
  <si>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</si>
  <si>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</si>
  <si>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</si>
  <si>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</si>
  <si>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</si>
  <si>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</si>
  <si>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</si>
  <si>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</si>
  <si>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</si>
  <si>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</si>
  <si>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</si>
  <si>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</si>
  <si>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</si>
  <si>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</si>
  <si>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</si>
  <si>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</si>
  <si>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</si>
  <si>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</si>
  <si>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</si>
  <si>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</si>
  <si>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</si>
  <si>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</si>
  <si>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</si>
  <si>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</si>
  <si>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</si>
  <si>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</si>
  <si>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</si>
  <si>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</si>
  <si>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</si>
  <si>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</si>
  <si>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</si>
  <si>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</si>
  <si>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</si>
  <si>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</si>
  <si>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</si>
  <si>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</si>
  <si>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</si>
  <si>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</si>
  <si>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</si>
  <si>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</si>
  <si>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</si>
  <si>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</si>
  <si>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</si>
  <si>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</si>
  <si>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</si>
  <si>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</si>
  <si>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</si>
  <si>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</si>
  <si>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</si>
  <si>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</si>
  <si>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</si>
  <si>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</si>
  <si>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</si>
  <si>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</si>
  <si>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</si>
  <si>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</si>
  <si>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</si>
  <si>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</si>
  <si>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</si>
  <si>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</si>
  <si>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</si>
  <si>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</si>
  <si>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</si>
  <si>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</si>
  <si>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</si>
  <si>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</si>
  <si>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</si>
  <si>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</si>
  <si>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</si>
  <si>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</si>
  <si>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</si>
  <si>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</si>
  <si>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</si>
  <si>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</si>
  <si>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</si>
  <si>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</si>
  <si>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</si>
  <si>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</si>
  <si>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</si>
  <si>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</si>
  <si>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</si>
  <si>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</si>
  <si>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</si>
  <si>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</si>
  <si>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</si>
  <si>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</si>
  <si>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</si>
  <si>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</si>
  <si>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</si>
  <si>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</si>
  <si>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</si>
  <si>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</si>
  <si>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</si>
  <si>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</si>
  <si>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</si>
  <si>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</si>
  <si>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</si>
  <si>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</si>
  <si>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</si>
  <si>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</si>
  <si>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</si>
  <si>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</si>
  <si>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</si>
  <si>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</si>
  <si>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</si>
  <si>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</si>
  <si>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</si>
  <si>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</si>
  <si>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</si>
  <si>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</si>
  <si>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</si>
  <si>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</si>
  <si>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</si>
  <si>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</si>
  <si>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</si>
  <si>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</si>
  <si>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</si>
  <si>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</si>
  <si>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</si>
  <si>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</si>
  <si>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</si>
  <si>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</si>
  <si>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</si>
  <si>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</si>
  <si>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</si>
  <si>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</si>
  <si>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</si>
  <si>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</si>
  <si>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</si>
  <si>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</si>
  <si>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</si>
  <si>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</si>
  <si>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</si>
  <si>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</si>
  <si>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</si>
  <si>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</si>
  <si>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</si>
  <si>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</si>
  <si>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</si>
  <si>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</si>
  <si>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</si>
  <si>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</si>
  <si>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</si>
  <si>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</si>
  <si>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</si>
  <si>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</si>
  <si>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</si>
  <si>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</si>
  <si>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</si>
  <si>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</si>
  <si>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</si>
  <si>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</si>
  <si>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</si>
  <si>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</si>
  <si>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</si>
  <si>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</si>
  <si>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</si>
  <si>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</si>
  <si>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</si>
  <si>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</si>
  <si>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</si>
  <si>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</si>
  <si>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</si>
  <si>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</si>
  <si>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</si>
  <si>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</si>
  <si>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</si>
  <si>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</si>
  <si>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</si>
  <si>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</si>
  <si>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</si>
  <si>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</si>
  <si>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</si>
  <si>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</si>
  <si>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</si>
  <si>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</si>
  <si>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</si>
  <si>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</si>
  <si>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</si>
  <si>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</si>
  <si>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</si>
  <si>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</si>
  <si>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</si>
  <si>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</si>
  <si>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</si>
  <si>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</si>
  <si>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</si>
  <si>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</si>
  <si>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</si>
  <si>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</si>
  <si>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</si>
  <si>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</si>
  <si>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</si>
  <si>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</si>
  <si>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</si>
  <si>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</si>
  <si>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</si>
  <si>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</si>
  <si>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</si>
  <si>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</si>
  <si>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</si>
  <si>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</si>
  <si>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</si>
  <si>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</si>
  <si>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</si>
  <si>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</si>
  <si>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</si>
  <si>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</si>
  <si>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</si>
  <si>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</si>
  <si>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</si>
  <si>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</si>
  <si>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</si>
  <si>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</si>
  <si>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</si>
  <si>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</si>
  <si>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</si>
  <si>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</si>
  <si>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</si>
  <si>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</si>
  <si>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</si>
  <si>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</si>
  <si>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</si>
  <si>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</si>
  <si>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</si>
  <si>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</si>
  <si>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</si>
  <si>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</si>
  <si>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</si>
  <si>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</si>
  <si>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</si>
  <si>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</si>
  <si>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</si>
  <si>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</si>
  <si>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</si>
  <si>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</si>
  <si>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</si>
  <si>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</si>
  <si>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</si>
  <si>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</si>
  <si>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</si>
  <si>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</si>
  <si>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</si>
  <si>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</si>
  <si>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</si>
  <si>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</si>
  <si>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</si>
  <si>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</si>
  <si>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</si>
  <si>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</si>
  <si>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</si>
  <si>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</si>
  <si>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</si>
  <si>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</si>
  <si>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</si>
  <si>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</si>
  <si>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</si>
  <si>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</si>
  <si>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</si>
  <si>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</si>
  <si>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</si>
  <si>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</si>
  <si>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</si>
  <si>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</si>
  <si>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</si>
  <si>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</si>
  <si>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</si>
  <si>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</si>
  <si>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</si>
  <si>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</si>
  <si>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</si>
  <si>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</si>
  <si>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</si>
  <si>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</si>
  <si>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</si>
  <si>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</si>
  <si>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</si>
  <si>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</si>
  <si>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</si>
  <si>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</si>
  <si>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</si>
  <si>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</si>
  <si>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</si>
  <si>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</si>
  <si>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</si>
  <si>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</si>
  <si>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</si>
  <si>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</si>
  <si>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</si>
  <si>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</si>
  <si>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</si>
  <si>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</si>
  <si>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</si>
  <si>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</si>
  <si>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</si>
  <si>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</si>
  <si>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</si>
  <si>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</si>
  <si>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</si>
  <si>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</si>
  <si>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</si>
  <si>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</si>
  <si>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</si>
  <si>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</si>
  <si>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</si>
  <si>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</si>
  <si>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</si>
  <si>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</si>
  <si>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</si>
  <si>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</si>
  <si>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</si>
  <si>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</si>
  <si>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</si>
  <si>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</si>
  <si>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</si>
  <si>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</si>
  <si>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</si>
  <si>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</si>
  <si>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</si>
  <si>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</si>
  <si>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</si>
  <si>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</si>
  <si>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</si>
  <si>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</si>
  <si>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</si>
  <si>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</si>
  <si>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</si>
  <si>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</si>
  <si>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</si>
  <si>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</si>
  <si>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</si>
  <si>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</si>
  <si>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</si>
  <si>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</si>
  <si>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</si>
  <si>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</si>
  <si>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</si>
  <si>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</si>
  <si>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</si>
  <si>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</si>
  <si>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</si>
  <si>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</si>
  <si>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</si>
  <si>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</si>
  <si>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</si>
  <si>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</si>
  <si>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</si>
  <si>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</si>
  <si>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</si>
  <si>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</si>
  <si>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</si>
  <si>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</si>
  <si>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</si>
  <si>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</si>
  <si>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</si>
  <si>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</si>
  <si>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</si>
  <si>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</si>
  <si>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</si>
  <si>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</si>
  <si>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</si>
  <si>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</si>
  <si>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</si>
  <si>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</si>
  <si>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</si>
  <si>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</si>
  <si>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</si>
  <si>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</si>
  <si>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</si>
  <si>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</si>
  <si>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</si>
  <si>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</si>
  <si>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</si>
  <si>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</si>
  <si>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</si>
  <si>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</si>
  <si>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</si>
  <si>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</si>
  <si>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</si>
  <si>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</si>
  <si>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</si>
  <si>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</si>
  <si>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</si>
  <si>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</si>
  <si>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</si>
  <si>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</si>
  <si>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</si>
  <si>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</si>
  <si>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</si>
  <si>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</si>
  <si>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</si>
  <si>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</si>
  <si>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</si>
  <si>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</si>
  <si>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</si>
  <si>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</si>
  <si>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</si>
  <si>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</si>
  <si>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</si>
  <si>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</si>
  <si>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</si>
  <si>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</si>
  <si>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</si>
  <si>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</si>
  <si>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</si>
  <si>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</si>
  <si>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</si>
  <si>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</si>
  <si>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</si>
  <si>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</si>
  <si>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</si>
  <si>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</si>
  <si>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</si>
  <si>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</si>
  <si>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</si>
  <si>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</si>
  <si>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</si>
  <si>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</si>
  <si>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</si>
  <si>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</si>
  <si>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</si>
  <si>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</si>
  <si>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</si>
  <si>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</si>
  <si>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</si>
  <si>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</si>
  <si>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</si>
  <si>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</si>
  <si>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</si>
  <si>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</si>
  <si>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</si>
  <si>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</si>
  <si>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</si>
  <si>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</si>
  <si>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</si>
  <si>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</si>
  <si>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</si>
  <si>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</si>
  <si>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</si>
  <si>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</si>
  <si>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</si>
  <si>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</si>
  <si>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</si>
  <si>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</si>
  <si>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</si>
  <si>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</si>
  <si>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</si>
  <si>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</si>
  <si>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</si>
  <si>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</si>
  <si>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</si>
  <si>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</si>
  <si>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</si>
  <si>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</si>
  <si>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</si>
  <si>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</si>
  <si>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</si>
  <si>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</si>
  <si>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</si>
  <si>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</si>
  <si>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</si>
  <si>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</si>
  <si>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</si>
  <si>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</si>
  <si>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</si>
  <si>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</si>
  <si>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</si>
  <si>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</si>
  <si>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</si>
  <si>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</si>
  <si>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</si>
  <si>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</si>
  <si>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</si>
  <si>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</si>
  <si>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</si>
  <si>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</si>
  <si>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</si>
  <si>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</si>
  <si>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</si>
  <si>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</si>
  <si>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</si>
  <si>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</si>
  <si>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</si>
  <si>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</si>
  <si>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</si>
  <si>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</si>
  <si>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</si>
  <si>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</si>
  <si>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</si>
  <si>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</si>
  <si>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</si>
  <si>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</si>
  <si>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</si>
  <si>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</si>
  <si>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</si>
  <si>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</si>
  <si>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</si>
  <si>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</si>
  <si>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</si>
  <si>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</si>
  <si>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</si>
  <si>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</si>
  <si>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</si>
  <si>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</si>
  <si>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</si>
  <si>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</si>
  <si>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</si>
  <si>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</si>
  <si>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</si>
  <si>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</si>
  <si>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</si>
  <si>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</si>
  <si>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</si>
  <si>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</si>
  <si>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</si>
  <si>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</si>
  <si>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</si>
  <si>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</si>
  <si>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</si>
  <si>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</si>
  <si>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</si>
  <si>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</si>
  <si>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</si>
  <si>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</si>
  <si>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</si>
  <si>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</si>
  <si>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</si>
  <si>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</si>
  <si>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</si>
  <si>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</si>
  <si>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</si>
  <si>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</si>
  <si>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</si>
  <si>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</si>
  <si>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</si>
  <si>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</si>
  <si>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</si>
  <si>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</si>
  <si>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</si>
  <si>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</si>
  <si>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</si>
  <si>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</si>
  <si>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</si>
  <si>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</si>
  <si>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</si>
  <si>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</si>
  <si>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</si>
  <si>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</si>
  <si>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</si>
  <si>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</si>
  <si>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</si>
  <si>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</si>
  <si>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</si>
  <si>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</si>
  <si>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</si>
  <si>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</si>
  <si>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</si>
  <si>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</si>
  <si>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</si>
  <si>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</si>
  <si>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</si>
  <si>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</si>
  <si>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</si>
  <si>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</si>
  <si>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</si>
  <si>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</si>
  <si>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</si>
  <si>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</si>
  <si>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</si>
  <si>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</si>
  <si>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</si>
  <si>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</si>
  <si>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</si>
  <si>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</si>
  <si>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</si>
  <si>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</si>
  <si>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</si>
  <si>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</si>
  <si>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</si>
  <si>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</si>
  <si>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</si>
  <si>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</si>
  <si>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</si>
  <si>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</si>
  <si>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</si>
  <si>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</si>
  <si>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</si>
  <si>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</si>
  <si>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</si>
  <si>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</si>
  <si>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</si>
  <si>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</si>
  <si>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</si>
  <si>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</si>
  <si>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</si>
  <si>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</si>
  <si>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</si>
  <si>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</si>
  <si>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</si>
  <si>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</si>
  <si>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</si>
  <si>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</si>
  <si>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</si>
  <si>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</si>
  <si>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</si>
  <si>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</si>
  <si>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</si>
  <si>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</si>
  <si>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</si>
  <si>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</si>
  <si>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</si>
  <si>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</si>
  <si>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</si>
  <si>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</si>
  <si>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</si>
  <si>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</si>
  <si>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</si>
  <si>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</si>
  <si>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</si>
  <si>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</si>
  <si>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</si>
  <si>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</si>
  <si>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</si>
  <si>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</si>
  <si>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</si>
  <si>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</si>
  <si>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</si>
  <si>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</si>
  <si>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</si>
  <si>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</si>
  <si>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</si>
  <si>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</si>
  <si>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</si>
  <si>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</si>
  <si>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</si>
  <si>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</si>
  <si>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</si>
  <si>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</si>
  <si>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</si>
  <si>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</si>
  <si>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</si>
  <si>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</si>
  <si>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</si>
  <si>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</si>
  <si>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</si>
  <si>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</si>
  <si>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</si>
  <si>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</si>
  <si>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</si>
  <si>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</si>
  <si>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</si>
  <si>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</si>
  <si>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</si>
  <si>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</si>
  <si>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</si>
  <si>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</si>
  <si>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</si>
  <si>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</si>
  <si>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</si>
  <si>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</si>
  <si>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</si>
  <si>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</si>
  <si>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</si>
  <si>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</si>
  <si>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</si>
  <si>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</si>
  <si>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</si>
  <si>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</si>
  <si>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</si>
  <si>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</si>
  <si>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</si>
  <si>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</si>
  <si>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</si>
  <si>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</si>
  <si>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</si>
  <si>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</si>
  <si>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</si>
  <si>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</si>
  <si>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</si>
  <si>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</si>
  <si>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</si>
  <si>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</si>
  <si>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</si>
  <si>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</si>
  <si>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</si>
  <si>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</si>
  <si>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</si>
  <si>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</si>
  <si>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</si>
  <si>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</si>
  <si>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</si>
  <si>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</si>
  <si>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</si>
  <si>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</si>
  <si>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</si>
  <si>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</si>
  <si>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</si>
  <si>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</si>
  <si>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</si>
  <si>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</si>
  <si>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</si>
  <si>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</si>
  <si>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</si>
  <si>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</si>
  <si>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</si>
  <si>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</si>
  <si>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</si>
  <si>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</si>
  <si>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</si>
  <si>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</si>
  <si>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</si>
  <si>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</si>
  <si>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</si>
  <si>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</si>
  <si>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</si>
  <si>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</si>
  <si>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</si>
  <si>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</si>
  <si>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</si>
  <si>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</si>
  <si>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</si>
  <si>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</si>
  <si>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</si>
  <si>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</si>
  <si>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</si>
  <si>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</si>
  <si>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</si>
  <si>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</si>
  <si>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</si>
  <si>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</si>
  <si>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</si>
  <si>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</si>
  <si>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</si>
  <si>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</si>
  <si>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</si>
  <si>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</si>
  <si>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</si>
  <si>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</si>
  <si>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</si>
  <si>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</si>
  <si>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</si>
  <si>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</si>
  <si>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</si>
  <si>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</si>
  <si>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</si>
  <si>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</si>
  <si>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</si>
  <si>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</si>
  <si>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</si>
  <si>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</si>
  <si>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</si>
  <si>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</si>
  <si>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</si>
  <si>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</si>
  <si>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</si>
  <si>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</si>
  <si>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</si>
  <si>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</si>
  <si>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</si>
  <si>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</si>
  <si>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</si>
  <si>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</si>
  <si>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</si>
  <si>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</si>
  <si>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</si>
  <si>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</si>
  <si>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</si>
  <si>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</si>
  <si>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</si>
  <si>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</si>
  <si>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</si>
  <si>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</si>
  <si>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</si>
  <si>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</si>
  <si>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</si>
  <si>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</si>
  <si>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</si>
  <si>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</si>
  <si>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</si>
  <si>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</si>
  <si>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</si>
  <si>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</si>
  <si>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</si>
  <si>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</si>
  <si>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</si>
  <si>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</si>
  <si>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</si>
  <si>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</si>
  <si>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</si>
  <si>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</si>
  <si>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</si>
  <si>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</si>
  <si>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</si>
  <si>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</si>
  <si>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</si>
  <si>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</si>
  <si>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</si>
  <si>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</si>
  <si>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</si>
  <si>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</si>
  <si>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</si>
  <si>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</si>
  <si>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</si>
  <si>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</si>
  <si>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</si>
  <si>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</si>
  <si>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</si>
  <si>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</si>
  <si>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</si>
  <si>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</si>
  <si>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</si>
  <si>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</si>
  <si>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</si>
  <si>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</si>
  <si>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</si>
  <si>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</si>
  <si>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</si>
  <si>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</si>
  <si>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</si>
  <si>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</si>
  <si>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</si>
  <si>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</si>
  <si>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</si>
  <si>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</si>
  <si>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</si>
  <si>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</si>
  <si>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</si>
  <si>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</si>
  <si>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</si>
  <si>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</si>
  <si>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</si>
  <si>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</si>
  <si>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</si>
  <si>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</si>
  <si>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</si>
  <si>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</si>
  <si>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</si>
  <si>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</si>
  <si>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</si>
  <si>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</si>
  <si>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</si>
  <si>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</si>
  <si>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</si>
  <si>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</si>
  <si>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</si>
  <si>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</si>
  <si>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</si>
  <si>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</si>
  <si>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</si>
  <si>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</si>
  <si>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</si>
  <si>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</si>
  <si>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</si>
  <si>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</si>
  <si>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</si>
  <si>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</si>
  <si>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</si>
  <si>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</si>
  <si>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</si>
  <si>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</si>
  <si>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</si>
  <si>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</si>
  <si>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</si>
  <si>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</si>
  <si>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</si>
  <si>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</si>
  <si>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</si>
  <si>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</si>
  <si>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</si>
  <si>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</si>
  <si>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</si>
  <si>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</si>
  <si>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</si>
  <si>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</si>
  <si>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</si>
  <si>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</si>
  <si>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</si>
  <si>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</si>
  <si>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</si>
  <si>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</si>
  <si>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</si>
  <si>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</si>
  <si>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</si>
  <si>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</si>
  <si>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</si>
  <si>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</si>
  <si>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</si>
  <si>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</si>
  <si>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</si>
  <si>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</si>
  <si>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</si>
  <si>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</si>
  <si>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</si>
  <si>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</si>
  <si>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</si>
  <si>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</si>
  <si>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</si>
  <si>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</si>
  <si>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</si>
  <si>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</si>
  <si>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</si>
  <si>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</si>
  <si>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</si>
  <si>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</si>
  <si>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</si>
  <si>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</si>
  <si>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</si>
  <si>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</si>
  <si>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</si>
  <si>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</si>
  <si>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</si>
  <si>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</si>
  <si>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</si>
  <si>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</si>
  <si>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</si>
  <si>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</si>
  <si>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</si>
  <si>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</si>
  <si>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</si>
  <si>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</si>
  <si>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</si>
  <si>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</si>
  <si>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</si>
  <si>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</si>
  <si>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</si>
  <si>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</si>
  <si>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</si>
  <si>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</si>
  <si>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</si>
  <si>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</si>
  <si>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</si>
  <si>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</si>
  <si>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</si>
  <si>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</si>
  <si>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</si>
  <si>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</si>
  <si>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</si>
  <si>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</si>
  <si>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</si>
  <si>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</si>
  <si>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</si>
  <si>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</si>
  <si>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</si>
  <si>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</si>
  <si>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</si>
  <si>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</si>
  <si>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</si>
  <si>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</si>
  <si>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</si>
  <si>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</si>
  <si>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</si>
  <si>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</si>
  <si>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</si>
  <si>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</si>
  <si>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</si>
  <si>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</si>
  <si>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</si>
  <si>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</si>
  <si>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</si>
  <si>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</si>
  <si>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</si>
  <si>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</si>
  <si>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</si>
  <si>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</si>
  <si>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</si>
  <si>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</si>
  <si>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</si>
  <si>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</si>
  <si>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</si>
  <si>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</si>
  <si>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</si>
  <si>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</si>
  <si>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</si>
  <si>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</si>
  <si>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</si>
  <si>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</si>
  <si>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</si>
  <si>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</si>
  <si>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</si>
  <si>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</si>
  <si>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</si>
  <si>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</si>
  <si>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</si>
  <si>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</si>
  <si>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</si>
  <si>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</si>
  <si>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</si>
  <si>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</si>
  <si>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</si>
  <si>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</si>
  <si>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</si>
  <si>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</si>
  <si>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</si>
  <si>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</si>
  <si>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</si>
  <si>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</si>
  <si>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</si>
  <si>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</si>
  <si>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</si>
  <si>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</si>
  <si>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</si>
  <si>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</si>
  <si>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</si>
  <si>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</si>
  <si>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</si>
  <si>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</si>
  <si>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</si>
  <si>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</si>
  <si>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</si>
  <si>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</si>
  <si>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</si>
  <si>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</si>
  <si>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</si>
  <si>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</si>
  <si>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</si>
  <si>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</si>
  <si>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</si>
  <si>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</si>
  <si>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</si>
  <si>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</si>
  <si>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</si>
  <si>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</si>
  <si>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</si>
  <si>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</si>
  <si>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</si>
  <si>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</si>
  <si>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</si>
  <si>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</si>
  <si>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</si>
  <si>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</si>
  <si>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</si>
  <si>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</si>
  <si>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</si>
  <si>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</si>
  <si>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</si>
  <si>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</si>
  <si>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</si>
  <si>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</si>
  <si>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</si>
  <si>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</si>
  <si>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</si>
  <si>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</si>
  <si>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</si>
  <si>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</si>
  <si>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</si>
  <si>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</si>
  <si>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</si>
  <si>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</si>
  <si>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</si>
  <si>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</si>
  <si>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</si>
  <si>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</si>
  <si>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</si>
  <si>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</si>
  <si>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</si>
  <si>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</si>
  <si>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</si>
  <si>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</si>
  <si>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</si>
  <si>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</si>
  <si>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</si>
  <si>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</si>
  <si>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</si>
  <si>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</si>
  <si>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</si>
  <si>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</si>
  <si>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</si>
  <si>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</si>
  <si>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</si>
  <si>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</si>
  <si>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</si>
  <si>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</si>
  <si>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</si>
  <si>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</si>
  <si>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</si>
  <si>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</si>
  <si>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</si>
  <si>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</si>
  <si>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</si>
  <si>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</si>
  <si>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</si>
  <si>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</si>
  <si>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</si>
  <si>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</si>
  <si>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</si>
  <si>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</si>
  <si>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</si>
  <si>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</si>
  <si>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</si>
  <si>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</si>
  <si>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</si>
  <si>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</si>
  <si>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</si>
  <si>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</si>
  <si>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</si>
  <si>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</si>
  <si>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</si>
  <si>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</si>
  <si>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</si>
  <si>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</si>
  <si>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</si>
  <si>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</si>
  <si>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</si>
  <si>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</si>
  <si>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</si>
  <si>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</si>
  <si>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</si>
  <si>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</si>
  <si>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</si>
  <si>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</si>
  <si>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</si>
  <si>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</si>
  <si>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</si>
  <si>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</si>
  <si>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</si>
  <si>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</si>
  <si>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</si>
  <si>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</si>
  <si>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</si>
  <si>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</si>
  <si>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</si>
  <si>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</si>
  <si>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</si>
  <si>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</si>
  <si>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</si>
  <si>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</si>
  <si>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</si>
  <si>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</si>
  <si>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</si>
  <si>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</si>
  <si>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</si>
  <si>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</si>
  <si>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</si>
  <si>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</si>
  <si>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</si>
  <si>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</si>
  <si>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</si>
  <si>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</si>
  <si>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</si>
  <si>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</si>
  <si>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</si>
  <si>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</si>
  <si>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</si>
  <si>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</si>
  <si>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</si>
  <si>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</si>
  <si>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</si>
  <si>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</si>
  <si>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</si>
  <si>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</si>
  <si>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</si>
  <si>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</si>
  <si>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</si>
  <si>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</si>
  <si>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</si>
  <si>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</si>
  <si>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</si>
  <si>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</si>
  <si>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</si>
  <si>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</si>
  <si>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</si>
  <si>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</si>
  <si>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</si>
  <si>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</si>
  <si>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</si>
  <si>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</si>
  <si>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</si>
  <si>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</si>
  <si>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</si>
  <si>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</si>
  <si>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</si>
  <si>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</si>
  <si>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</si>
  <si>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</si>
  <si>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</si>
  <si>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</si>
  <si>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</si>
  <si>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</si>
  <si>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</si>
  <si>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</si>
  <si>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</si>
  <si>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</si>
  <si>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</si>
  <si>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</si>
  <si>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</si>
  <si>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</si>
  <si>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</si>
  <si>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</si>
  <si>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</si>
  <si>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</si>
  <si>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</si>
  <si>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</si>
  <si>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</si>
  <si>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</si>
  <si>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</si>
  <si>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</si>
  <si>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</si>
  <si>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</si>
  <si>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</si>
  <si>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</si>
  <si>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</si>
  <si>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</si>
  <si>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</si>
  <si>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</si>
  <si>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</si>
  <si>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</si>
  <si>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</si>
  <si>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</si>
  <si>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</si>
  <si>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</si>
  <si>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</si>
  <si>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</si>
  <si>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</si>
  <si>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</si>
  <si>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</si>
  <si>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</si>
  <si>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</si>
  <si>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</si>
  <si>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</si>
  <si>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</si>
  <si>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</si>
  <si>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</si>
  <si>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</si>
  <si>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</si>
  <si>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</si>
  <si>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</si>
  <si>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</si>
  <si>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</si>
  <si>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</si>
  <si>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</si>
  <si>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</si>
  <si>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</si>
  <si>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</si>
  <si>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</si>
  <si>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</si>
  <si>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</si>
  <si>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</si>
  <si>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</si>
  <si>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</si>
  <si>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</si>
  <si>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</si>
  <si>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</si>
  <si>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</si>
  <si>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</si>
  <si>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</si>
  <si>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</si>
  <si>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</si>
  <si>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</si>
  <si>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</si>
  <si>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</si>
  <si>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</si>
  <si>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</si>
  <si>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</si>
  <si>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</si>
  <si>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</si>
  <si>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</si>
  <si>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</si>
  <si>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</si>
  <si>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</si>
  <si>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</si>
  <si>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</si>
  <si>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</si>
  <si>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</si>
  <si>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</si>
  <si>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</si>
  <si>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</si>
  <si>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</si>
  <si>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</si>
  <si>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</si>
  <si>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</si>
  <si>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</si>
  <si>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</si>
  <si>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</si>
  <si>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</si>
  <si>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</si>
  <si>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</si>
  <si>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</si>
  <si>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</si>
  <si>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</si>
  <si>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</si>
  <si>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</si>
  <si>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</si>
  <si>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</si>
  <si>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</si>
  <si>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</si>
  <si>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</si>
  <si>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</si>
  <si>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</si>
  <si>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</si>
  <si>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</si>
  <si>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</si>
  <si>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</si>
  <si>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</si>
  <si>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</si>
  <si>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</si>
  <si>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</si>
  <si>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</si>
  <si>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</si>
  <si>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</si>
  <si>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</si>
  <si>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</si>
  <si>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</si>
  <si>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</si>
  <si>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</si>
  <si>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</si>
  <si>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</si>
  <si>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</si>
  <si>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</si>
  <si>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</si>
  <si>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</si>
  <si>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</si>
  <si>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</si>
  <si>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</si>
  <si>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</si>
  <si>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</si>
  <si>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</si>
  <si>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</si>
  <si>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</si>
  <si>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</si>
  <si>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</si>
  <si>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</si>
  <si>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</si>
  <si>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</si>
  <si>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</si>
  <si>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</si>
  <si>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</si>
  <si>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</si>
  <si>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</si>
  <si>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</si>
  <si>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</si>
  <si>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</si>
  <si>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</si>
  <si>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</si>
  <si>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</si>
  <si>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</si>
  <si>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</si>
  <si>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</si>
  <si>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</si>
  <si>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</si>
  <si>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</si>
  <si>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</si>
  <si>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</si>
  <si>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</si>
  <si>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</si>
  <si>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</si>
  <si>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</si>
  <si>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</si>
  <si>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</si>
  <si>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</si>
  <si>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</si>
  <si>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</si>
  <si>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</si>
  <si>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</si>
  <si>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</si>
  <si>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</si>
  <si>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</si>
  <si>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</si>
  <si>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</si>
  <si>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</si>
  <si>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</si>
  <si>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</si>
  <si>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</si>
  <si>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</si>
  <si>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</si>
  <si>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</si>
  <si>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</si>
  <si>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</si>
  <si>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</si>
  <si>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</si>
  <si>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</si>
  <si>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</si>
  <si>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</si>
  <si>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</si>
  <si>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</si>
  <si>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</si>
  <si>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</si>
  <si>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</si>
  <si>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</si>
  <si>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</si>
  <si>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</si>
  <si>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</si>
  <si>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</si>
  <si>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</si>
  <si>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</si>
  <si>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</si>
  <si>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</si>
  <si>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</si>
  <si>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</si>
  <si>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</si>
  <si>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</si>
  <si>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</si>
  <si>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</si>
  <si>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</si>
  <si>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</si>
  <si>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</si>
  <si>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</si>
  <si>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</si>
  <si>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</si>
  <si>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</si>
  <si>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</si>
  <si>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</si>
  <si>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</si>
  <si>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</si>
  <si>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</si>
  <si>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</si>
  <si>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</si>
  <si>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</si>
  <si>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</si>
  <si>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</si>
  <si>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</si>
  <si>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</si>
  <si>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</si>
  <si>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</si>
  <si>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</si>
  <si>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</si>
  <si>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</si>
  <si>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</si>
  <si>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</si>
  <si>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</si>
  <si>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</si>
  <si>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</si>
  <si>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</si>
  <si>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</si>
  <si>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</si>
  <si>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</si>
  <si>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</si>
  <si>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</si>
  <si>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</si>
  <si>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</si>
  <si>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</si>
  <si>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</si>
  <si>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</si>
  <si>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</si>
  <si>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</si>
  <si>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</si>
  <si>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</si>
  <si>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</si>
  <si>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</si>
  <si>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</si>
  <si>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</si>
  <si>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</si>
  <si>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</si>
  <si>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</si>
  <si>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</si>
  <si>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</si>
  <si>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</si>
  <si>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</si>
  <si>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</si>
  <si>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</si>
  <si>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</si>
  <si>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</si>
  <si>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</si>
  <si>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</si>
  <si>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</si>
  <si>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</si>
  <si>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</si>
  <si>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</si>
  <si>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</si>
  <si>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</si>
  <si>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</si>
  <si>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</si>
  <si>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</si>
  <si>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</si>
  <si>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</si>
  <si>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</si>
  <si>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</si>
  <si>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</si>
  <si>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</si>
  <si>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</si>
  <si>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</si>
  <si>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</si>
  <si>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</si>
  <si>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</si>
  <si>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</si>
  <si>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</si>
  <si>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</si>
  <si>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</si>
  <si>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</si>
  <si>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</si>
  <si>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</si>
  <si>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</si>
  <si>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</si>
  <si>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</si>
  <si>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</si>
  <si>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</si>
  <si>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</si>
  <si>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</si>
  <si>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</si>
  <si>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</si>
  <si>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</si>
  <si>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</si>
  <si>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</si>
  <si>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</si>
  <si>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</si>
  <si>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</si>
  <si>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</si>
  <si>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</si>
  <si>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</si>
  <si>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</si>
  <si>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</si>
  <si>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</si>
  <si>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</si>
  <si>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</si>
  <si>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</si>
  <si>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</si>
  <si>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</si>
  <si>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</si>
  <si>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</si>
  <si>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</si>
  <si>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</si>
  <si>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</si>
  <si>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</si>
  <si>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</si>
  <si>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</si>
  <si>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</si>
  <si>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</si>
  <si>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</si>
  <si>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</si>
  <si>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</si>
  <si>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</si>
  <si>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</si>
  <si>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</si>
  <si>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</si>
  <si>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</si>
  <si>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</si>
  <si>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</si>
  <si>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</si>
  <si>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</si>
  <si>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</si>
  <si>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</si>
  <si>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</si>
  <si>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</si>
  <si>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</si>
  <si>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</si>
  <si>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</si>
  <si>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</si>
  <si>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</si>
  <si>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</si>
  <si>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</si>
  <si>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</si>
  <si>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</si>
  <si>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</si>
  <si>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</si>
  <si>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</si>
  <si>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</si>
  <si>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</si>
  <si>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</si>
  <si>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</si>
  <si>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</si>
  <si>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</si>
  <si>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</si>
  <si>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</si>
  <si>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</si>
  <si>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</si>
  <si>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</si>
  <si>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</si>
  <si>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</si>
  <si>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</si>
  <si>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</si>
  <si>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</si>
  <si>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</si>
  <si>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</si>
  <si>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</si>
  <si>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</si>
  <si>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</si>
  <si>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</si>
  <si>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</si>
  <si>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</si>
  <si>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</si>
  <si>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</si>
  <si>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</si>
  <si>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</si>
  <si>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</si>
  <si>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</si>
  <si>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</si>
  <si>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</si>
  <si>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</si>
  <si>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</si>
  <si>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</si>
  <si>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</si>
  <si>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</si>
  <si>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</si>
  <si>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</si>
  <si>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</si>
  <si>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</si>
  <si>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</si>
  <si>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</si>
  <si>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</si>
  <si>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</si>
  <si>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</si>
  <si>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</si>
  <si>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</si>
  <si>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</si>
  <si>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</si>
  <si>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</si>
  <si>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</si>
  <si>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</si>
  <si>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</si>
  <si>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</si>
  <si>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</si>
  <si>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</si>
  <si>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</si>
  <si>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</si>
  <si>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</si>
  <si>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</si>
  <si>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</si>
  <si>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</si>
  <si>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</si>
  <si>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</si>
  <si>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</si>
  <si>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</si>
  <si>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</si>
  <si>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</si>
  <si>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</si>
  <si>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</si>
  <si>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</si>
  <si>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</si>
  <si>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</si>
  <si>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</si>
  <si>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</si>
  <si>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</si>
  <si>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</si>
  <si>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</si>
  <si>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</si>
  <si>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</si>
  <si>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</si>
  <si>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</si>
  <si>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</si>
  <si>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</si>
  <si>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</si>
  <si>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</si>
  <si>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</si>
  <si>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</si>
  <si>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</si>
  <si>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</si>
  <si>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</si>
  <si>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</si>
  <si>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</si>
  <si>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</si>
  <si>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</si>
  <si>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</si>
  <si>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</si>
  <si>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</si>
  <si>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</si>
  <si>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</si>
  <si>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</si>
  <si>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</si>
  <si>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</si>
  <si>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</si>
  <si>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</si>
  <si>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</si>
  <si>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</si>
  <si>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</si>
  <si>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</si>
  <si>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</si>
  <si>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</si>
  <si>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</si>
  <si>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</si>
  <si>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</si>
  <si>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</si>
  <si>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</si>
  <si>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</si>
  <si>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</si>
  <si>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</si>
  <si>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</si>
  <si>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</si>
  <si>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</si>
  <si>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</si>
  <si>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</si>
  <si>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</si>
  <si>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</si>
  <si>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</si>
  <si>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</si>
  <si>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</si>
  <si>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</si>
  <si>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</si>
  <si>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</si>
  <si>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</si>
  <si>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</si>
  <si>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</si>
  <si>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</si>
  <si>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</si>
  <si>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</si>
  <si>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</si>
  <si>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</si>
  <si>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</si>
  <si>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</si>
  <si>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</si>
  <si>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</si>
  <si>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</si>
  <si>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</si>
  <si>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</si>
  <si>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</si>
  <si>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</si>
  <si>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</si>
  <si>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</si>
  <si>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</si>
  <si>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</si>
  <si>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</si>
  <si>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</si>
  <si>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</si>
  <si>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</si>
  <si>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</si>
  <si>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</si>
  <si>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</si>
  <si>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</si>
  <si>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</si>
  <si>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</si>
  <si>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</si>
  <si>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</si>
  <si>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</si>
  <si>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</si>
  <si>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</si>
  <si>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</si>
  <si>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</si>
  <si>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</si>
  <si>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</si>
  <si>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</si>
  <si>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</si>
  <si>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</si>
  <si>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</si>
  <si>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</si>
  <si>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</si>
  <si>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</si>
  <si>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</si>
  <si>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</si>
  <si>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</si>
  <si>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</si>
  <si>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</si>
  <si>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</si>
  <si>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</si>
  <si>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</si>
  <si>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</si>
  <si>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</si>
  <si>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</si>
  <si>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</si>
  <si>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</si>
  <si>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</si>
  <si>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</si>
  <si>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</si>
  <si>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</si>
  <si>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</si>
  <si>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</si>
  <si>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</si>
  <si>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</si>
  <si>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</si>
  <si>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</si>
  <si>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</si>
  <si>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</si>
  <si>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</si>
  <si>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</si>
  <si>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</si>
  <si>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</si>
  <si>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</si>
  <si>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</si>
  <si>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</si>
  <si>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</si>
  <si>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</si>
  <si>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</si>
  <si>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</si>
  <si>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</si>
  <si>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</si>
  <si>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</si>
  <si>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</si>
  <si>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</si>
  <si>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</si>
  <si>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</si>
  <si>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</si>
  <si>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</si>
  <si>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</si>
  <si>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</si>
  <si>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</si>
  <si>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</si>
  <si>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</si>
  <si>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</si>
  <si>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</si>
  <si>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</si>
  <si>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</si>
  <si>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</si>
  <si>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</si>
  <si>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</si>
  <si>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</si>
  <si>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</si>
  <si>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</si>
  <si>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</si>
  <si>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</si>
  <si>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</si>
  <si>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</si>
  <si>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</si>
  <si>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</si>
  <si>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</si>
  <si>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</si>
  <si>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</si>
  <si>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</si>
  <si>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</si>
  <si>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</si>
  <si>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</si>
  <si>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</si>
  <si>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</si>
  <si>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</si>
  <si>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</si>
  <si>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</si>
  <si>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</si>
  <si>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</si>
  <si>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</si>
  <si>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</si>
  <si>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</si>
  <si>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</si>
  <si>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</si>
  <si>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</si>
  <si>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</si>
  <si>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</si>
  <si>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</si>
  <si>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</si>
  <si>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</si>
  <si>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</si>
  <si>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</si>
  <si>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</si>
  <si>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</si>
  <si>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</si>
  <si>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</si>
  <si>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</si>
  <si>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</si>
  <si>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</si>
  <si>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</si>
  <si>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</si>
  <si>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</si>
  <si>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</si>
  <si>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</si>
  <si>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</si>
  <si>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</si>
  <si>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</si>
  <si>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</si>
  <si>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</si>
  <si>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</si>
  <si>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</si>
  <si>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</si>
  <si>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</si>
  <si>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</si>
  <si>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</si>
  <si>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</si>
  <si>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</si>
  <si>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</si>
  <si>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</si>
  <si>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</si>
  <si>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</si>
  <si>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</si>
  <si>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</si>
  <si>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</si>
  <si>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</si>
  <si>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</si>
  <si>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</si>
  <si>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</si>
  <si>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</si>
  <si>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</si>
  <si>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</si>
  <si>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</si>
  <si>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</si>
  <si>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</si>
  <si>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</si>
  <si>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</si>
  <si>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</si>
  <si>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</si>
  <si>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</si>
  <si>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</si>
  <si>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</si>
  <si>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</si>
  <si>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</si>
  <si>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</si>
  <si>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</si>
  <si>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</si>
  <si>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</si>
  <si>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</si>
  <si>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</si>
  <si>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</si>
  <si>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</si>
  <si>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</si>
  <si>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</si>
  <si>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</si>
  <si>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</si>
  <si>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</si>
  <si>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</si>
  <si>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</si>
  <si>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</si>
  <si>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</si>
  <si>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</si>
  <si>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</si>
  <si>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</si>
  <si>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</si>
  <si>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</si>
  <si>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</si>
  <si>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</si>
  <si>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</si>
  <si>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</si>
  <si>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</si>
  <si>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</si>
  <si>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</si>
  <si>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</si>
  <si>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</si>
  <si>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</si>
  <si>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</si>
  <si>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</si>
  <si>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</si>
  <si>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</si>
  <si>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</si>
  <si>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</si>
  <si>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</si>
  <si>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</si>
  <si>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</si>
  <si>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</si>
  <si>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</si>
  <si>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</si>
  <si>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</si>
  <si>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</si>
  <si>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</si>
  <si>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</si>
  <si>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</si>
  <si>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</si>
  <si>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</si>
  <si>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</si>
  <si>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</si>
  <si>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</si>
  <si>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</si>
  <si>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</si>
  <si>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</si>
  <si>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</si>
  <si>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</si>
  <si>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</si>
  <si>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</si>
  <si>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</si>
  <si>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</si>
  <si>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</si>
  <si>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</si>
  <si>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</si>
  <si>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</si>
  <si>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</si>
  <si>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</si>
  <si>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</si>
  <si>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</si>
  <si>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</si>
  <si>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</si>
  <si>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</si>
  <si>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</si>
  <si>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</si>
  <si>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</si>
  <si>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</si>
  <si>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</si>
  <si>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</si>
  <si>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</si>
  <si>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</si>
  <si>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</si>
  <si>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</si>
  <si>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</si>
  <si>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</si>
  <si>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</si>
  <si>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</si>
  <si>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</si>
  <si>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</si>
  <si>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</si>
  <si>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</si>
  <si>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</si>
  <si>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</si>
  <si>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</si>
  <si>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</si>
  <si>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</si>
  <si>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</si>
  <si>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</si>
  <si>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</si>
  <si>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</si>
  <si>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</si>
  <si>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</si>
  <si>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</si>
  <si>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</si>
  <si>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</si>
  <si>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</si>
  <si>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</si>
  <si>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</si>
  <si>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</si>
  <si>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</si>
  <si>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</si>
  <si>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</si>
  <si>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</si>
  <si>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</si>
  <si>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</si>
  <si>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</si>
  <si>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</si>
  <si>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</si>
  <si>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</si>
  <si>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</si>
  <si>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</si>
  <si>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</si>
  <si>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</si>
  <si>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</si>
  <si>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</si>
  <si>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</si>
  <si>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</si>
  <si>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</si>
  <si>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</si>
  <si>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</si>
  <si>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</si>
  <si>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</si>
  <si>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</si>
  <si>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</si>
  <si>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</si>
  <si>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</si>
  <si>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</si>
  <si>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</si>
  <si>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</si>
  <si>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</si>
  <si>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</si>
  <si>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</si>
  <si>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</si>
  <si>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</si>
  <si>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</si>
  <si>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</si>
  <si>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</si>
  <si>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</si>
  <si>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</si>
  <si>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</si>
  <si>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</si>
  <si>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</si>
  <si>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</si>
  <si>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</si>
  <si>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</si>
  <si>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</si>
  <si>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</si>
  <si>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</si>
  <si>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</si>
  <si>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</si>
  <si>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</si>
  <si>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</si>
  <si>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</si>
  <si>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</si>
  <si>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</si>
  <si>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</si>
  <si>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</si>
  <si>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</si>
  <si>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</si>
  <si>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</si>
  <si>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</si>
  <si>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</si>
  <si>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</si>
  <si>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</si>
  <si>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</si>
  <si>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</si>
  <si>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</si>
  <si>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</si>
  <si>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</si>
  <si>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</si>
  <si>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</si>
  <si>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</si>
  <si>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</si>
  <si>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</si>
  <si>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</si>
  <si>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</si>
  <si>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</si>
  <si>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</si>
  <si>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</si>
  <si>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</si>
  <si>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</si>
  <si>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</si>
  <si>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</si>
  <si>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</si>
  <si>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</si>
  <si>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</si>
  <si>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</si>
  <si>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</si>
  <si>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</si>
  <si>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</si>
  <si>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</si>
  <si>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</si>
  <si>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</si>
  <si>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</si>
  <si>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</si>
  <si>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</si>
  <si>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</si>
  <si>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</si>
  <si>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</si>
  <si>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</si>
  <si>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</si>
  <si>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</si>
  <si>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</si>
  <si>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</si>
  <si>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</si>
  <si>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</si>
  <si>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</si>
  <si>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</si>
  <si>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</si>
  <si>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</si>
  <si>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</si>
  <si>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</si>
  <si>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</si>
  <si>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</si>
  <si>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</si>
  <si>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</si>
  <si>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</si>
  <si>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</si>
  <si>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</si>
  <si>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</si>
  <si>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</si>
  <si>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</si>
  <si>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</si>
  <si>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</si>
  <si>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</si>
  <si>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</si>
  <si>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</si>
  <si>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</si>
  <si>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</si>
  <si>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</si>
  <si>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</si>
  <si>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</si>
  <si>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</si>
  <si>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</si>
  <si>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</si>
  <si>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</si>
  <si>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</si>
  <si>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</si>
  <si>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</si>
  <si>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</si>
  <si>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</si>
  <si>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</si>
  <si>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</si>
  <si>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</si>
  <si>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</si>
  <si>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</si>
  <si>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</si>
  <si>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</si>
  <si>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</si>
  <si>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</si>
  <si>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</si>
  <si>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</si>
  <si>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</si>
  <si>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</si>
  <si>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</si>
  <si>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</si>
  <si>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</si>
  <si>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</si>
  <si>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</si>
  <si>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</si>
  <si>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</si>
  <si>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</si>
  <si>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</si>
  <si>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</si>
  <si>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</si>
  <si>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</si>
  <si>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</si>
  <si>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</si>
  <si>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</si>
  <si>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</si>
  <si>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</si>
  <si>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</si>
  <si>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</si>
  <si>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</si>
  <si>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</si>
  <si>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</si>
  <si>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</si>
  <si>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</si>
  <si>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</si>
  <si>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</si>
  <si>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</si>
  <si>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</si>
  <si>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</si>
  <si>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</si>
  <si>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</si>
  <si>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</si>
  <si>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</si>
  <si>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</si>
  <si>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</si>
  <si>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</si>
  <si>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</si>
  <si>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</si>
  <si>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</si>
  <si>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</si>
  <si>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</si>
  <si>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</si>
  <si>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</si>
  <si>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</si>
  <si>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</si>
  <si>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</si>
  <si>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</si>
  <si>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</si>
  <si>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</si>
  <si>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</si>
  <si>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</si>
  <si>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</si>
  <si>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</si>
  <si>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</si>
  <si>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</si>
  <si>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</si>
  <si>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</si>
  <si>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</si>
  <si>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</si>
  <si>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</si>
  <si>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</si>
  <si>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</si>
  <si>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</si>
  <si>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</si>
  <si>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</si>
  <si>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</si>
  <si>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</si>
  <si>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</si>
  <si>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</si>
  <si>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</si>
  <si>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</si>
  <si>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</si>
  <si>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</si>
  <si>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</si>
  <si>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</si>
  <si>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</si>
  <si>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</si>
  <si>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</si>
  <si>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</si>
  <si>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</si>
  <si>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</si>
  <si>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</si>
  <si>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</si>
  <si>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</si>
  <si>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</si>
  <si>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</si>
  <si>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</si>
  <si>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</si>
  <si>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</si>
  <si>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</si>
  <si>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</si>
  <si>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</si>
  <si>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</si>
  <si>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</si>
  <si>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</si>
  <si>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</si>
  <si>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</si>
  <si>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</si>
  <si>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</si>
  <si>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</si>
  <si>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</si>
  <si>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</si>
  <si>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</si>
  <si>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</si>
  <si>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</si>
  <si>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</si>
  <si>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</si>
  <si>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</si>
  <si>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</si>
  <si>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</si>
  <si>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</si>
  <si>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</si>
  <si>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</si>
  <si>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</si>
  <si>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</si>
  <si>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</si>
  <si>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</si>
  <si>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</si>
  <si>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</si>
  <si>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</si>
  <si>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</si>
  <si>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</si>
  <si>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</si>
  <si>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</si>
  <si>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</si>
  <si>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</si>
  <si>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</si>
  <si>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</si>
  <si>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</si>
  <si>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</si>
  <si>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</si>
  <si>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</si>
  <si>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</si>
  <si>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</si>
  <si>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</si>
  <si>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</si>
  <si>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</si>
  <si>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</si>
  <si>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</si>
  <si>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</si>
  <si>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</si>
  <si>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</si>
  <si>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</si>
  <si>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</si>
  <si>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</si>
  <si>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</si>
  <si>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</si>
  <si>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</si>
  <si>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</si>
  <si>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</si>
  <si>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</si>
  <si>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</si>
  <si>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</si>
  <si>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</si>
  <si>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</si>
  <si>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</si>
  <si>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</si>
  <si>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</si>
  <si>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</si>
  <si>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</si>
  <si>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</si>
  <si>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</si>
  <si>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</si>
  <si>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</si>
  <si>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</si>
  <si>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</si>
  <si>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</si>
  <si>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</si>
  <si>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</si>
  <si>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</si>
  <si>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</si>
  <si>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</si>
  <si>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</si>
  <si>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</si>
  <si>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</si>
  <si>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</si>
  <si>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</si>
  <si>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</si>
  <si>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</si>
  <si>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</si>
  <si>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</si>
  <si>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</si>
  <si>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</si>
  <si>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</si>
  <si>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</si>
  <si>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</si>
  <si>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</si>
  <si>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</si>
  <si>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</si>
  <si>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</si>
  <si>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</si>
  <si>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</si>
  <si>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</si>
  <si>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</si>
  <si>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</si>
  <si>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</si>
  <si>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</si>
  <si>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</si>
  <si>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</si>
  <si>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</si>
  <si>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</si>
  <si>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</si>
  <si>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</si>
  <si>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</si>
  <si>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</si>
  <si>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</si>
  <si>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</si>
  <si>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</si>
  <si>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</si>
  <si>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</si>
  <si>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</si>
  <si>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</si>
  <si>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</si>
  <si>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</si>
  <si>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</si>
  <si>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</si>
  <si>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</si>
  <si>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</si>
  <si>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</si>
  <si>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</si>
  <si>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</si>
  <si>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</si>
  <si>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</si>
  <si>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</si>
  <si>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</si>
  <si>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</si>
  <si>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</si>
  <si>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</si>
  <si>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</si>
  <si>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</si>
  <si>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</si>
  <si>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</si>
  <si>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</si>
  <si>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</si>
  <si>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</si>
  <si>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</si>
  <si>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</si>
  <si>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</si>
  <si>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</si>
  <si>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</si>
  <si>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</si>
  <si>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</si>
  <si>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</si>
  <si>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</si>
  <si>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</si>
  <si>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</si>
  <si>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</si>
  <si>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</si>
  <si>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</si>
  <si>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</si>
  <si>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</si>
  <si>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</si>
  <si>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</si>
  <si>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</si>
  <si>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</si>
  <si>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</si>
  <si>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</si>
  <si>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</si>
  <si>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</si>
  <si>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</si>
  <si>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</si>
  <si>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</si>
  <si>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</si>
  <si>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</si>
  <si>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</si>
  <si>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</si>
  <si>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</si>
  <si>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</si>
  <si>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</si>
  <si>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</si>
  <si>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</si>
  <si>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</si>
  <si>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</si>
  <si>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</si>
  <si>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</si>
  <si>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</si>
  <si>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</si>
  <si>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</si>
  <si>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</si>
  <si>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</si>
  <si>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</si>
  <si>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</si>
  <si>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</si>
  <si>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</si>
  <si>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</si>
  <si>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</si>
  <si>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</si>
  <si>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</si>
  <si>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</si>
  <si>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</si>
  <si>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</si>
  <si>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</si>
  <si>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</si>
  <si>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</si>
  <si>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</si>
  <si>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</si>
  <si>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</si>
  <si>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</si>
  <si>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</si>
  <si>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</si>
  <si>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</si>
  <si>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</si>
  <si>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</si>
  <si>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</si>
  <si>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</si>
  <si>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</si>
  <si>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</si>
  <si>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</si>
  <si>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</si>
  <si>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</si>
  <si>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</si>
  <si>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</si>
  <si>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</si>
  <si>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</si>
  <si>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</si>
  <si>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</si>
  <si>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</si>
  <si>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</si>
  <si>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</si>
  <si>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</si>
  <si>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</si>
  <si>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</si>
  <si>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</si>
  <si>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</si>
  <si>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</si>
  <si>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</si>
  <si>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</si>
  <si>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</si>
  <si>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</si>
  <si>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</si>
  <si>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</si>
  <si>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</si>
  <si>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</si>
  <si>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</si>
  <si>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</si>
  <si>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</si>
  <si>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</si>
  <si>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</si>
  <si>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</si>
  <si>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</si>
  <si>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</si>
  <si>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</si>
  <si>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</si>
  <si>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</si>
  <si>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</si>
  <si>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</si>
  <si>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</si>
  <si>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</si>
  <si>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</si>
  <si>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</si>
  <si>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</si>
  <si>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</si>
  <si>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</si>
  <si>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</si>
  <si>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</si>
  <si>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</si>
  <si>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</si>
  <si>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</si>
  <si>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</si>
  <si>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</si>
  <si>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</si>
  <si>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</si>
  <si>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</si>
  <si>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</si>
  <si>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</si>
  <si>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</si>
  <si>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</si>
  <si>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</si>
  <si>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</si>
  <si>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</si>
  <si>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</si>
  <si>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</si>
  <si>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</si>
  <si>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</si>
  <si>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</si>
  <si>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</si>
  <si>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</si>
  <si>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</si>
  <si>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</si>
  <si>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</si>
  <si>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</si>
  <si>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</si>
  <si>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</si>
  <si>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</si>
  <si>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</si>
  <si>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</si>
  <si>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</si>
  <si>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</si>
  <si>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</si>
  <si>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</si>
  <si>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</si>
  <si>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</si>
  <si>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</si>
  <si>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</si>
  <si>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</si>
  <si>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</si>
  <si>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</si>
  <si>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</si>
  <si>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</si>
  <si>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</si>
  <si>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</si>
  <si>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</si>
  <si>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</si>
  <si>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</si>
  <si>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</si>
  <si>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</si>
  <si>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</si>
  <si>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</si>
  <si>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</si>
  <si>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</si>
  <si>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</si>
  <si>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</si>
  <si>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</si>
  <si>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</si>
  <si>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</si>
  <si>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</si>
  <si>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</si>
  <si>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</si>
  <si>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</si>
  <si>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</si>
  <si>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</si>
  <si>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</si>
  <si>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</si>
  <si>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</si>
  <si>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</si>
  <si>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</si>
  <si>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</si>
  <si>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</si>
  <si>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</si>
  <si>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</si>
  <si>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</si>
  <si>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</si>
  <si>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</si>
  <si>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</si>
  <si>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</si>
  <si>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</si>
  <si>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</si>
  <si>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</si>
  <si>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</si>
  <si>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</si>
  <si>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</si>
  <si>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</si>
  <si>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</si>
  <si>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</si>
  <si>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</si>
  <si>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</si>
  <si>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</si>
  <si>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</si>
  <si>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</si>
  <si>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</si>
  <si>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</si>
  <si>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</si>
  <si>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</si>
  <si>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</si>
  <si>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</si>
  <si>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</si>
  <si>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</si>
  <si>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</si>
  <si>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</si>
  <si>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</si>
  <si>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</si>
  <si>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</si>
  <si>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</si>
  <si>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</si>
  <si>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</si>
  <si>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</si>
  <si>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</si>
  <si>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</si>
  <si>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</si>
  <si>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</si>
  <si>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</si>
  <si>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</si>
  <si>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</si>
  <si>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</si>
  <si>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</si>
  <si>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</si>
  <si>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</si>
  <si>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</si>
  <si>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</si>
  <si>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</si>
  <si>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</si>
  <si>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</si>
  <si>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</si>
  <si>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</si>
  <si>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</si>
  <si>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</si>
  <si>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</si>
  <si>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</si>
  <si>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</si>
  <si>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</si>
  <si>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</si>
  <si>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</si>
  <si>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</si>
  <si>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</si>
  <si>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</si>
  <si>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</si>
  <si>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</si>
  <si>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</si>
  <si>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</si>
  <si>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</si>
  <si>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</si>
  <si>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</si>
  <si>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</si>
  <si>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</si>
  <si>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</si>
  <si>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</si>
  <si>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</si>
  <si>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</si>
  <si>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</si>
  <si>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</si>
  <si>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</si>
  <si>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</si>
  <si>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</si>
  <si>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</si>
  <si>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</si>
  <si>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</si>
  <si>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</si>
  <si>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</si>
  <si>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</si>
  <si>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</si>
  <si>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</si>
  <si>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</si>
  <si>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</si>
  <si>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</si>
  <si>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</si>
  <si>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</si>
  <si>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</si>
  <si>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</si>
  <si>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</si>
  <si>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</si>
  <si>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</si>
  <si>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</si>
  <si>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</si>
  <si>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</si>
  <si>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</si>
  <si>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</si>
  <si>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</si>
  <si>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</si>
  <si>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</si>
  <si>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</si>
  <si>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</si>
  <si>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</si>
  <si>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</si>
  <si>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</si>
  <si>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</si>
  <si>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</si>
  <si>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</si>
  <si>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</si>
  <si>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</si>
  <si>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</si>
  <si>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</si>
  <si>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</si>
  <si>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</si>
  <si>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</si>
  <si>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</si>
  <si>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</si>
  <si>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</si>
  <si>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</si>
  <si>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</si>
  <si>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</si>
  <si>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</si>
  <si>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</si>
  <si>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</si>
  <si>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</si>
  <si>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</si>
  <si>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</si>
  <si>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</si>
  <si>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</si>
  <si>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</si>
  <si>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</si>
  <si>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</si>
  <si>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</si>
  <si>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</si>
  <si>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</si>
  <si>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</si>
  <si>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</si>
  <si>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</si>
  <si>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</si>
  <si>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</si>
  <si>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</si>
  <si>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</si>
  <si>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</si>
  <si>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</si>
  <si>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</si>
  <si>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</si>
  <si>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</si>
  <si>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</si>
  <si>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</si>
  <si>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</si>
  <si>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</si>
  <si>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</si>
  <si>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</si>
  <si>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</si>
  <si>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</si>
  <si>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</si>
  <si>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</si>
  <si>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</si>
  <si>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</si>
  <si>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</si>
  <si>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</si>
  <si>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</si>
  <si>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</si>
  <si>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</si>
  <si>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</si>
  <si>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</si>
  <si>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</si>
  <si>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</si>
  <si>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</si>
  <si>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</si>
  <si>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</si>
  <si>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</si>
  <si>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</si>
  <si>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</si>
  <si>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</si>
  <si>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</si>
  <si>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</si>
  <si>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</si>
  <si>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</si>
  <si>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</si>
  <si>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</si>
  <si>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</si>
  <si>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</si>
  <si>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</si>
  <si>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</si>
  <si>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</si>
  <si>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</si>
  <si>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</si>
  <si>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</si>
  <si>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</si>
  <si>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</si>
  <si>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</si>
  <si>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</si>
  <si>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</si>
  <si>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</si>
  <si>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</si>
  <si>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</si>
  <si>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</si>
  <si>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</si>
  <si>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</si>
  <si>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</si>
  <si>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</si>
  <si>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</si>
  <si>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</si>
  <si>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</si>
  <si>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</si>
  <si>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</si>
  <si>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</si>
  <si>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</si>
  <si>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</si>
  <si>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</si>
  <si>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</si>
  <si>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</si>
  <si>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</si>
  <si>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</si>
  <si>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</si>
  <si>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</si>
  <si>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</si>
  <si>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</si>
  <si>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</si>
  <si>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</si>
  <si>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</si>
  <si>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</si>
  <si>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</si>
  <si>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</si>
  <si>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</si>
  <si>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</si>
  <si>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</si>
  <si>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</si>
  <si>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</si>
  <si>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</si>
  <si>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</si>
  <si>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</si>
  <si>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</si>
  <si>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</si>
  <si>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</si>
  <si>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</si>
  <si>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</si>
  <si>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</si>
  <si>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</si>
  <si>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</si>
  <si>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</si>
  <si>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</si>
  <si>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</si>
  <si>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</si>
  <si>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</si>
  <si>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</si>
  <si>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</si>
  <si>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</si>
  <si>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</si>
  <si>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</si>
  <si>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</si>
  <si>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</si>
  <si>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</si>
  <si>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</si>
  <si>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</si>
  <si>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</si>
  <si>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</si>
  <si>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</si>
  <si>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</si>
  <si>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</si>
  <si>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</si>
  <si>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</si>
  <si>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</si>
  <si>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</si>
  <si>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</si>
  <si>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</si>
  <si>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</si>
  <si>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</si>
  <si>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</si>
  <si>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</si>
  <si>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</si>
  <si>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</si>
  <si>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</si>
  <si>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</si>
  <si>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</si>
  <si>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</si>
  <si>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</si>
  <si>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</si>
  <si>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</si>
  <si>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</si>
  <si>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</si>
  <si>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</si>
  <si>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</si>
  <si>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</si>
  <si>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</si>
  <si>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</si>
  <si>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</si>
  <si>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</si>
  <si>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</si>
  <si>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</si>
  <si>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</si>
  <si>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</si>
  <si>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</si>
  <si>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</si>
  <si>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</si>
  <si>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</si>
  <si>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</si>
  <si>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</si>
  <si>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</si>
  <si>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</si>
  <si>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</si>
  <si>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</si>
  <si>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</si>
  <si>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</si>
  <si>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</si>
  <si>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</si>
  <si>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</si>
  <si>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</si>
  <si>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</si>
  <si>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</si>
  <si>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</si>
  <si>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</si>
  <si>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</si>
  <si>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</si>
  <si>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</si>
  <si>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</si>
  <si>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</si>
  <si>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</si>
  <si>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</si>
  <si>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</si>
  <si>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</si>
  <si>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</si>
  <si>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</si>
  <si>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</si>
  <si>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</si>
  <si>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</si>
  <si>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</si>
  <si>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</si>
  <si>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</si>
  <si>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</si>
  <si>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</si>
  <si>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</si>
  <si>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</si>
  <si>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</si>
  <si>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</si>
  <si>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</si>
  <si>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</si>
  <si>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</si>
  <si>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</si>
  <si>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</si>
  <si>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</si>
  <si>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</si>
  <si>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</si>
  <si>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</si>
  <si>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</si>
  <si>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</si>
  <si>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</si>
  <si>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</si>
  <si>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</si>
  <si>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</si>
  <si>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</si>
  <si>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</si>
  <si>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</si>
  <si>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</si>
  <si>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</si>
  <si>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</si>
  <si>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</si>
  <si>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</si>
  <si>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</si>
  <si>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</si>
  <si>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</si>
  <si>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</si>
  <si>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</si>
  <si>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</si>
  <si>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</si>
  <si>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</si>
  <si>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</si>
  <si>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</si>
  <si>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</si>
  <si>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</si>
  <si>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</si>
  <si>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</si>
  <si>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</si>
  <si>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</si>
  <si>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</si>
  <si>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</si>
  <si>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</si>
  <si>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</si>
  <si>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</si>
  <si>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</si>
  <si>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</si>
  <si>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</si>
  <si>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</si>
  <si>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</si>
  <si>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</si>
  <si>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</si>
  <si>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</si>
  <si>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</si>
  <si>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</si>
  <si>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</si>
  <si>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</si>
  <si>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</si>
  <si>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</si>
  <si>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</si>
  <si>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</si>
  <si>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</si>
  <si>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</si>
  <si>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</si>
  <si>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</si>
  <si>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</si>
  <si>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</si>
  <si>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</si>
  <si>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</si>
  <si>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</si>
  <si>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</si>
  <si>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</si>
  <si>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</si>
  <si>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</si>
  <si>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</si>
  <si>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</si>
  <si>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</si>
  <si>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</si>
  <si>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</si>
  <si>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</si>
  <si>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</si>
  <si>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</si>
  <si>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</si>
  <si>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</si>
  <si>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</si>
  <si>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</si>
  <si>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</si>
  <si>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</si>
  <si>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</si>
  <si>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</si>
  <si>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</si>
  <si>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</si>
  <si>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</si>
  <si>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</si>
  <si>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</si>
  <si>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</si>
  <si>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</si>
  <si>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</si>
  <si>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</si>
  <si>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</si>
  <si>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</si>
  <si>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</si>
  <si>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</si>
  <si>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</si>
  <si>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</si>
  <si>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</si>
  <si>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</si>
  <si>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</si>
  <si>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</si>
  <si>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</si>
  <si>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</si>
  <si>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</si>
  <si>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</si>
  <si>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</si>
  <si>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</si>
  <si>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</si>
  <si>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</si>
  <si>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</si>
  <si>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</si>
  <si>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</si>
  <si>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</si>
  <si>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</si>
  <si>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</si>
  <si>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</si>
  <si>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</si>
  <si>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</si>
  <si>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</si>
  <si>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</si>
  <si>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</si>
  <si>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</si>
  <si>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</si>
  <si>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</si>
  <si>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</si>
  <si>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</si>
  <si>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</si>
  <si>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</si>
  <si>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</si>
  <si>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</si>
  <si>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</si>
  <si>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</si>
  <si>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</si>
  <si>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</si>
  <si>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</si>
  <si>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</si>
  <si>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</si>
  <si>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</si>
  <si>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</si>
  <si>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</si>
  <si>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</si>
  <si>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</si>
  <si>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</si>
  <si>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</si>
  <si>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</si>
  <si>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</si>
  <si>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</si>
  <si>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</si>
  <si>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</si>
  <si>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</si>
  <si>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</si>
  <si>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</si>
  <si>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</si>
  <si>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</si>
  <si>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</si>
  <si>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</si>
  <si>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</si>
  <si>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</si>
  <si>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</si>
  <si>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</si>
  <si>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</si>
  <si>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</si>
  <si>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</si>
  <si>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</si>
  <si>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</si>
  <si>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</si>
  <si>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</si>
  <si>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</si>
  <si>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</si>
  <si>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</si>
  <si>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</si>
  <si>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</si>
  <si>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</si>
  <si>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</si>
  <si>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</si>
  <si>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</si>
  <si>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</si>
  <si>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</si>
  <si>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</si>
  <si>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</si>
  <si>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</si>
  <si>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</si>
  <si>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</si>
  <si>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</si>
  <si>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</si>
  <si>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</si>
  <si>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</si>
  <si>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</si>
  <si>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</si>
  <si>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</si>
  <si>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</si>
  <si>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</si>
  <si>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</si>
  <si>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</si>
  <si>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</si>
  <si>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</si>
  <si>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</si>
  <si>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</si>
  <si>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</si>
  <si>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</si>
  <si>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</si>
  <si>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</si>
  <si>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</si>
  <si>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</si>
  <si>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</si>
  <si>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</si>
  <si>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</si>
  <si>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</si>
  <si>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</si>
  <si>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</si>
  <si>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</si>
  <si>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</si>
  <si>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</si>
  <si>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</si>
  <si>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</si>
  <si>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</si>
  <si>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</si>
  <si>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</si>
  <si>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</si>
  <si>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</si>
  <si>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</si>
  <si>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</si>
  <si>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</si>
  <si>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</si>
  <si>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</si>
  <si>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</si>
  <si>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</si>
  <si>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</si>
  <si>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</si>
  <si>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</si>
  <si>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</si>
  <si>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</si>
  <si>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</si>
  <si>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</si>
  <si>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</si>
  <si>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</si>
  <si>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</si>
  <si>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</si>
  <si>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</si>
  <si>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</si>
  <si>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</si>
  <si>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</si>
  <si>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</si>
  <si>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</si>
  <si>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</si>
  <si>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</si>
  <si>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</si>
  <si>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</si>
  <si>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</si>
  <si>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</si>
  <si>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</si>
  <si>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</si>
  <si>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</si>
  <si>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</si>
  <si>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</si>
  <si>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</si>
  <si>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</si>
  <si>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</si>
  <si>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</si>
  <si>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</si>
  <si>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</si>
  <si>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</si>
  <si>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</si>
  <si>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</si>
  <si>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</si>
  <si>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</si>
  <si>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</si>
  <si>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</si>
  <si>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</si>
  <si>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</si>
  <si>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</si>
  <si>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</si>
  <si>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</si>
  <si>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</si>
  <si>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</si>
  <si>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</si>
  <si>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</si>
  <si>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</si>
  <si>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</si>
  <si>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</si>
  <si>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</si>
  <si>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</si>
  <si>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</si>
  <si>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</si>
  <si>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</si>
  <si>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</si>
  <si>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</si>
  <si>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</si>
  <si>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</si>
  <si>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</si>
  <si>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</si>
  <si>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</si>
  <si>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</si>
  <si>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</si>
  <si>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</si>
  <si>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</si>
  <si>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</si>
  <si>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</si>
  <si>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</si>
  <si>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</si>
  <si>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</si>
  <si>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</si>
  <si>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</si>
  <si>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</si>
  <si>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</si>
  <si>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</si>
  <si>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</si>
  <si>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</si>
  <si>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</si>
  <si>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</si>
  <si>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</si>
  <si>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</si>
  <si>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</si>
  <si>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</si>
  <si>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</si>
  <si>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</si>
  <si>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</si>
  <si>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</si>
  <si>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</si>
  <si>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</si>
  <si>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</si>
  <si>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</si>
  <si>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</si>
  <si>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</si>
  <si>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</si>
  <si>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</si>
  <si>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</si>
  <si>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</si>
  <si>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</si>
  <si>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</si>
  <si>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</si>
  <si>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</si>
  <si>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</si>
  <si>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</si>
  <si>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</si>
  <si>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</si>
  <si>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</si>
  <si>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</si>
  <si>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</si>
  <si>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</si>
  <si>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</si>
  <si>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</si>
  <si>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</si>
  <si>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</si>
  <si>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</si>
  <si>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</si>
  <si>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</si>
  <si>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</si>
  <si>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</si>
  <si>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</si>
  <si>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</si>
  <si>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</si>
  <si>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</si>
  <si>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</si>
  <si>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</si>
  <si>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</si>
  <si>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</si>
  <si>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</si>
  <si>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</si>
  <si>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</si>
  <si>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</si>
  <si>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</si>
  <si>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</si>
  <si>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</si>
  <si>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</si>
  <si>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</si>
  <si>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</si>
  <si>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</si>
  <si>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</si>
  <si>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</si>
  <si>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</si>
  <si>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</si>
  <si>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</si>
  <si>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</si>
  <si>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</si>
  <si>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</si>
  <si>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</si>
  <si>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</si>
  <si>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</si>
  <si>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</si>
  <si>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</si>
  <si>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</si>
  <si>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</si>
  <si>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</si>
  <si>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</si>
  <si>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</si>
  <si>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</si>
  <si>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</si>
  <si>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</si>
  <si>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</si>
  <si>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</si>
  <si>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</si>
  <si>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</si>
  <si>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</si>
  <si>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</si>
  <si>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</si>
  <si>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</si>
  <si>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</si>
  <si>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</si>
  <si>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</si>
  <si>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</si>
  <si>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</si>
  <si>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</si>
  <si>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</si>
  <si>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</si>
  <si>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</si>
  <si>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</si>
  <si>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</si>
  <si>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</si>
  <si>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</si>
  <si>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</si>
  <si>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</si>
  <si>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</si>
  <si>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</si>
  <si>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</si>
  <si>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</si>
  <si>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</si>
  <si>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</si>
  <si>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</si>
  <si>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</si>
  <si>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</si>
  <si>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</si>
  <si>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</si>
  <si>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</si>
  <si>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</si>
  <si>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</si>
  <si>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</si>
  <si>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</si>
  <si>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</si>
  <si>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</si>
  <si>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</si>
  <si>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</si>
  <si>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</si>
  <si>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</si>
  <si>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</si>
  <si>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</si>
  <si>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</si>
  <si>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</si>
  <si>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</si>
  <si>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</si>
  <si>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</si>
  <si>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</si>
  <si>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</si>
  <si>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</si>
  <si>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</si>
  <si>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</si>
  <si>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</si>
  <si>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</si>
  <si>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</si>
  <si>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</si>
  <si>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</si>
  <si>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</si>
  <si>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</si>
  <si>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</si>
  <si>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</si>
  <si>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</si>
  <si>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</si>
  <si>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</si>
  <si>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</si>
  <si>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</si>
  <si>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</si>
  <si>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</si>
  <si>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</si>
  <si>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</si>
  <si>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</si>
  <si>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</si>
  <si>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</si>
  <si>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</si>
  <si>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</si>
  <si>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</si>
  <si>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</si>
  <si>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</si>
  <si>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</si>
  <si>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</si>
  <si>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</si>
  <si>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</si>
  <si>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</si>
  <si>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</si>
  <si>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</si>
  <si>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</si>
  <si>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</si>
  <si>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</si>
  <si>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</si>
  <si>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</si>
  <si>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</si>
  <si>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</si>
  <si>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</si>
  <si>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</si>
  <si>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</si>
  <si>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</si>
  <si>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</si>
  <si>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</si>
  <si>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</si>
  <si>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</si>
  <si>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</si>
  <si>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</si>
  <si>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</si>
  <si>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</si>
  <si>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</si>
  <si>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</si>
  <si>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</si>
  <si>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</si>
  <si>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</si>
  <si>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</si>
  <si>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</si>
  <si>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</si>
  <si>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</si>
  <si>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</si>
  <si>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</si>
  <si>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</si>
  <si>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</si>
  <si>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</si>
  <si>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</si>
  <si>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</si>
  <si>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</si>
  <si>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</si>
  <si>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</si>
  <si>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</si>
  <si>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</si>
  <si>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</si>
  <si>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</si>
  <si>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</si>
  <si>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</si>
  <si>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</si>
  <si>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</si>
  <si>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</si>
  <si>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</si>
  <si>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</si>
  <si>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</si>
  <si>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</si>
  <si>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</si>
  <si>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</si>
  <si>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</si>
  <si>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</si>
  <si>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</si>
  <si>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</si>
  <si>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</si>
  <si>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</si>
  <si>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</si>
  <si>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</si>
  <si>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</si>
  <si>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</si>
  <si>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</si>
  <si>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</si>
  <si>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</si>
  <si>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</si>
  <si>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</si>
  <si>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</si>
  <si>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</si>
  <si>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</si>
  <si>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</si>
  <si>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</si>
  <si>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</si>
  <si>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</si>
  <si>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</si>
  <si>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</si>
  <si>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</si>
  <si>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</si>
  <si>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</si>
  <si>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</si>
  <si>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</si>
  <si>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</si>
  <si>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</si>
  <si>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</si>
  <si>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</si>
  <si>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</si>
  <si>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</si>
  <si>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</si>
  <si>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</si>
  <si>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</si>
  <si>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</si>
  <si>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</si>
  <si>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</si>
  <si>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</si>
  <si>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</si>
  <si>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</si>
  <si>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</si>
  <si>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</si>
  <si>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</si>
  <si>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</si>
  <si>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</si>
  <si>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</si>
  <si>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</si>
  <si>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</si>
  <si>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</si>
  <si>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</si>
  <si>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</si>
  <si>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</si>
  <si>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</si>
  <si>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</si>
  <si>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</si>
  <si>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</si>
  <si>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</si>
  <si>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</si>
  <si>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</si>
  <si>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</si>
  <si>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</si>
  <si>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</si>
  <si>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</si>
  <si>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</si>
  <si>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</si>
  <si>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</si>
  <si>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</si>
  <si>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</si>
  <si>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</si>
  <si>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</si>
  <si>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</si>
  <si>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</si>
  <si>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</si>
  <si>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</si>
  <si>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</si>
  <si>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</si>
  <si>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</si>
  <si>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</si>
  <si>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</si>
  <si>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</si>
  <si>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</si>
  <si>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</si>
  <si>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</si>
  <si>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</si>
  <si>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</si>
  <si>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</si>
  <si>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</si>
  <si>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</si>
  <si>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</si>
  <si>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</si>
  <si>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</si>
  <si>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</si>
  <si>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</si>
  <si>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</si>
  <si>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</si>
  <si>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</si>
  <si>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</si>
  <si>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</si>
  <si>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</si>
  <si>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</si>
  <si>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</si>
  <si>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</si>
  <si>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</si>
  <si>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</si>
  <si>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</si>
  <si>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</si>
  <si>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</si>
  <si>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</si>
  <si>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</si>
  <si>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</si>
  <si>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</si>
  <si>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</si>
  <si>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</si>
  <si>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</si>
  <si>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</si>
  <si>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</si>
  <si>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</si>
  <si>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</si>
  <si>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</si>
  <si>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</si>
  <si>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</si>
  <si>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</si>
  <si>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</si>
  <si>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</si>
  <si>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</si>
  <si>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</si>
  <si>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</si>
  <si>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</si>
  <si>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</si>
  <si>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</si>
  <si>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</si>
  <si>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</si>
  <si>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</si>
  <si>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</si>
  <si>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</si>
  <si>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</si>
  <si>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</si>
  <si>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</si>
  <si>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</si>
  <si>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</si>
  <si>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</si>
  <si>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</si>
  <si>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</si>
  <si>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</si>
  <si>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</si>
  <si>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</si>
  <si>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</si>
  <si>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</si>
  <si>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</si>
  <si>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</si>
  <si>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</si>
  <si>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</si>
  <si>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</si>
  <si>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</si>
  <si>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</si>
  <si>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</si>
  <si>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</si>
  <si>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</si>
  <si>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</si>
  <si>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</si>
  <si>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</si>
  <si>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</si>
  <si>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</si>
  <si>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</si>
  <si>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</si>
  <si>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</si>
  <si>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</si>
  <si>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</si>
  <si>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</si>
  <si>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</si>
  <si>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</si>
  <si>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</si>
  <si>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</si>
  <si>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</si>
  <si>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</si>
  <si>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</si>
  <si>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</si>
  <si>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</si>
  <si>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</si>
  <si>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</si>
  <si>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</si>
  <si>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</si>
  <si>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</si>
  <si>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</si>
  <si>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</si>
  <si>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</si>
  <si>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</si>
  <si>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</si>
  <si>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</si>
  <si>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</si>
  <si>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</si>
  <si>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</si>
  <si>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</si>
  <si>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</si>
  <si>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</si>
  <si>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</si>
  <si>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</si>
  <si>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</si>
  <si>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</si>
  <si>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</si>
  <si>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</si>
  <si>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</si>
  <si>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</si>
  <si>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</si>
  <si>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</si>
  <si>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</si>
  <si>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</si>
  <si>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</si>
  <si>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</si>
  <si>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</si>
  <si>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</si>
  <si>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</si>
  <si>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</si>
  <si>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</si>
  <si>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</si>
  <si>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</si>
  <si>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</si>
  <si>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</si>
  <si>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</si>
  <si>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</si>
  <si>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</si>
  <si>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</si>
  <si>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</si>
  <si>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</si>
  <si>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</si>
  <si>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</si>
  <si>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</si>
  <si>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</si>
  <si>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</si>
  <si>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</si>
  <si>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</si>
  <si>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</si>
  <si>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</si>
  <si>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</si>
  <si>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</si>
  <si>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</si>
  <si>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</si>
  <si>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</si>
  <si>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</si>
  <si>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</si>
  <si>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</si>
  <si>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</si>
  <si>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</si>
  <si>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</si>
  <si>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</si>
  <si>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</si>
  <si>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</si>
  <si>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</si>
  <si>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</si>
  <si>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</si>
  <si>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</si>
  <si>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</si>
  <si>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</si>
  <si>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</si>
  <si>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</si>
  <si>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</si>
  <si>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</si>
  <si>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</si>
  <si>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</si>
  <si>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</si>
  <si>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</si>
  <si>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</si>
  <si>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</si>
  <si>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</si>
  <si>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</si>
  <si>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</si>
  <si>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</si>
  <si>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</si>
  <si>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</si>
  <si>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</si>
  <si>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</si>
  <si>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</si>
  <si>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</si>
  <si>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</si>
  <si>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</si>
  <si>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</si>
  <si>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</si>
  <si>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</si>
  <si>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</si>
  <si>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</si>
  <si>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</si>
  <si>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</si>
  <si>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</si>
  <si>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</si>
  <si>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</si>
  <si>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</si>
  <si>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</si>
  <si>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</si>
  <si>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</si>
  <si>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</si>
  <si>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</si>
  <si>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</si>
  <si>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</si>
  <si>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</si>
  <si>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</si>
  <si>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</si>
  <si>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</si>
  <si>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</si>
  <si>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</si>
  <si>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</si>
  <si>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</si>
  <si>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</si>
  <si>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</si>
  <si>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</si>
  <si>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</si>
  <si>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</si>
  <si>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</si>
  <si>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</si>
  <si>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</si>
  <si>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</si>
  <si>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</si>
  <si>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</si>
  <si>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</si>
  <si>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</si>
  <si>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</si>
  <si>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</si>
  <si>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</si>
  <si>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</si>
  <si>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</si>
  <si>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</si>
  <si>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</si>
  <si>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</si>
  <si>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</si>
  <si>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</si>
  <si>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</si>
  <si>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</si>
  <si>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</si>
  <si>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</si>
  <si>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</si>
  <si>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</si>
  <si>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</si>
  <si>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</si>
  <si>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</si>
  <si>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</si>
  <si>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</si>
  <si>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</si>
  <si>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</si>
  <si>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</si>
  <si>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</si>
  <si>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</si>
  <si>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</si>
  <si>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</si>
  <si>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</si>
  <si>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</si>
  <si>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</si>
  <si>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</si>
  <si>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</si>
  <si>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</si>
  <si>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</si>
  <si>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</si>
  <si>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</si>
  <si>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</si>
  <si>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</si>
  <si>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</si>
  <si>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</si>
  <si>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</si>
  <si>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</si>
  <si>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</si>
  <si>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</si>
  <si>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</si>
  <si>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</si>
  <si>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</si>
  <si>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</si>
  <si>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</si>
  <si>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</si>
  <si>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</si>
  <si>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</si>
  <si>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</si>
  <si>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</si>
  <si>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</si>
  <si>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</si>
  <si>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</si>
  <si>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</si>
  <si>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</si>
  <si>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</si>
  <si>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</si>
  <si>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</si>
  <si>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</si>
  <si>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</si>
  <si>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</si>
  <si>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</si>
  <si>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</si>
  <si>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</si>
  <si>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</si>
  <si>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</si>
  <si>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</si>
  <si>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</si>
  <si>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</si>
  <si>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</si>
  <si>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</si>
  <si>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</si>
  <si>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</si>
  <si>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</si>
  <si>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</si>
  <si>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</si>
  <si>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</si>
  <si>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</si>
  <si>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</si>
  <si>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</si>
  <si>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</si>
  <si>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</si>
  <si>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</si>
  <si>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</si>
  <si>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</si>
  <si>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</si>
  <si>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</si>
  <si>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</si>
  <si>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</si>
  <si>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</si>
  <si>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</si>
  <si>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</si>
  <si>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</si>
  <si>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</si>
  <si>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</si>
  <si>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</si>
  <si>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</si>
  <si>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</si>
  <si>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</si>
  <si>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</si>
  <si>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</si>
  <si>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</si>
  <si>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</si>
  <si>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</si>
  <si>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</si>
  <si>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</si>
  <si>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</si>
  <si>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</si>
  <si>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</si>
  <si>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</si>
  <si>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</si>
  <si>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</si>
  <si>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</si>
  <si>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</si>
  <si>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</si>
  <si>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</si>
  <si>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</si>
  <si>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</si>
  <si>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</si>
  <si>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</si>
  <si>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</si>
  <si>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</si>
  <si>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</si>
  <si>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</si>
  <si>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</si>
  <si>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</si>
  <si>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</si>
  <si>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</si>
  <si>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</si>
  <si>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</si>
  <si>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</si>
  <si>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</si>
  <si>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</si>
  <si>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</si>
  <si>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</si>
  <si>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</si>
  <si>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</si>
  <si>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</si>
  <si>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</si>
  <si>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</si>
  <si>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</si>
  <si>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</si>
  <si>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</si>
  <si>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</si>
  <si>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</si>
  <si>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</si>
  <si>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</si>
  <si>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</si>
  <si>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</si>
  <si>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</si>
  <si>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</si>
  <si>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</si>
  <si>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</si>
  <si>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</si>
  <si>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</si>
  <si>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</si>
  <si>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</si>
  <si>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</si>
  <si>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</si>
  <si>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</si>
  <si>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</si>
  <si>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</si>
  <si>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</si>
  <si>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</si>
  <si>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</si>
  <si>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</si>
  <si>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</si>
  <si>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</si>
  <si>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</si>
  <si>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</si>
  <si>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</si>
  <si>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</si>
  <si>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</si>
  <si>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</si>
  <si>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</si>
  <si>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</si>
  <si>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</si>
  <si>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</si>
  <si>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</si>
  <si>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</si>
  <si>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</si>
  <si>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</si>
  <si>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</si>
  <si>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</si>
  <si>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</si>
  <si>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</si>
  <si>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</si>
  <si>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</si>
  <si>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</si>
  <si>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</si>
  <si>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</si>
  <si>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</si>
  <si>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</si>
  <si>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</si>
  <si>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</si>
  <si>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</si>
  <si>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</si>
  <si>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</si>
  <si>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</si>
  <si>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</si>
  <si>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</si>
  <si>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</si>
  <si>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</si>
  <si>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</si>
  <si>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</si>
  <si>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</si>
  <si>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</si>
  <si>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</si>
  <si>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</si>
  <si>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</si>
  <si>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</si>
  <si>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</si>
  <si>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</si>
  <si>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</si>
  <si>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</si>
  <si>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</si>
  <si>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</si>
  <si>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</si>
  <si>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</si>
  <si>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</si>
  <si>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</si>
  <si>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</si>
  <si>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</si>
  <si>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</si>
  <si>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</si>
  <si>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</si>
  <si>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</si>
  <si>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</si>
  <si>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</si>
  <si>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</si>
  <si>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</si>
  <si>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</si>
  <si>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</si>
  <si>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</si>
  <si>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</si>
  <si>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</si>
  <si>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</si>
  <si>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</si>
  <si>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</si>
  <si>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</si>
  <si>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</si>
  <si>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</si>
  <si>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</si>
  <si>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</si>
  <si>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</si>
  <si>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</si>
  <si>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</si>
  <si>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</si>
  <si>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</si>
  <si>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</si>
  <si>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</si>
  <si>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</si>
  <si>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</si>
  <si>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</si>
  <si>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</si>
  <si>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</si>
  <si>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</si>
  <si>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</si>
  <si>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</si>
  <si>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</si>
  <si>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</si>
  <si>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</si>
  <si>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</si>
  <si>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</si>
  <si>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</si>
  <si>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</si>
  <si>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</si>
  <si>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</si>
  <si>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</si>
  <si>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</si>
  <si>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</si>
  <si>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</si>
  <si>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</si>
  <si>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</si>
  <si>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</si>
  <si>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</si>
  <si>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</si>
  <si>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</si>
  <si>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</si>
  <si>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</si>
  <si>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</si>
  <si>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</si>
  <si>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</si>
  <si>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</si>
  <si>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</si>
  <si>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</si>
  <si>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</si>
  <si>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</si>
  <si>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</si>
  <si>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</si>
  <si>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</si>
  <si>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</si>
  <si>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</si>
  <si>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</si>
  <si>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</si>
  <si>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</si>
  <si>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</si>
  <si>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</si>
  <si>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</si>
  <si>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</si>
  <si>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</si>
  <si>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</si>
  <si>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</si>
  <si>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</si>
  <si>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</si>
  <si>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</si>
  <si>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</si>
  <si>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</si>
  <si>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</si>
  <si>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</si>
  <si>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</si>
  <si>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</si>
  <si>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</si>
  <si>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</si>
  <si>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</si>
  <si>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</si>
  <si>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</si>
  <si>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</si>
  <si>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</si>
  <si>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</si>
  <si>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</si>
  <si>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</si>
  <si>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</si>
  <si>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</si>
  <si>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</si>
  <si>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</si>
  <si>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</si>
  <si>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</si>
  <si>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</si>
  <si>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</si>
  <si>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</si>
  <si>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</si>
  <si>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</si>
  <si>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</si>
  <si>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</si>
  <si>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</si>
  <si>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</si>
  <si>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</si>
  <si>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</si>
  <si>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</si>
  <si>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</si>
  <si>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</si>
  <si>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</si>
  <si>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</si>
  <si>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</si>
  <si>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</si>
  <si>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</si>
  <si>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</si>
  <si>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</si>
  <si>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</si>
  <si>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</si>
  <si>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</si>
  <si>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</si>
  <si>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</si>
  <si>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</si>
  <si>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</si>
  <si>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</si>
  <si>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</si>
  <si>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</si>
  <si>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</si>
  <si>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</si>
  <si>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</si>
  <si>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</si>
  <si>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</si>
  <si>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</si>
  <si>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</si>
  <si>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</si>
  <si>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</si>
  <si>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</si>
  <si>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</si>
  <si>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</si>
  <si>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</si>
  <si>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</si>
  <si>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</si>
  <si>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</si>
  <si>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</si>
  <si>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</si>
  <si>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</si>
  <si>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</si>
  <si>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</si>
  <si>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</si>
  <si>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</si>
  <si>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</si>
  <si>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</si>
  <si>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</si>
  <si>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</si>
  <si>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</si>
  <si>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</si>
  <si>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</si>
  <si>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</si>
  <si>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</si>
  <si>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</si>
  <si>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</si>
  <si>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</si>
  <si>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</si>
  <si>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</si>
  <si>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</si>
  <si>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</si>
  <si>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</si>
  <si>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</si>
  <si>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</si>
  <si>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</si>
  <si>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</si>
  <si>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</si>
  <si>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</si>
  <si>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</si>
  <si>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</si>
  <si>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</si>
  <si>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</si>
  <si>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</si>
  <si>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</si>
  <si>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</si>
  <si>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</si>
  <si>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</si>
  <si>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</si>
  <si>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</si>
  <si>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</si>
  <si>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</si>
  <si>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</si>
  <si>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</si>
  <si>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</si>
  <si>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</si>
  <si>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</si>
  <si>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</si>
  <si>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</si>
  <si>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</si>
  <si>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</si>
  <si>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</si>
  <si>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</si>
  <si>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</si>
  <si>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</si>
  <si>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</si>
  <si>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</si>
  <si>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</si>
  <si>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</si>
  <si>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</si>
  <si>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</si>
  <si>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</si>
  <si>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</si>
  <si>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</si>
  <si>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</si>
  <si>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</si>
  <si>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</si>
  <si>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</si>
  <si>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</si>
  <si>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</si>
  <si>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</si>
  <si>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</si>
  <si>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</si>
  <si>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</si>
  <si>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</si>
  <si>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</si>
  <si>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</si>
  <si>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</si>
  <si>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</si>
  <si>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</si>
  <si>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</si>
  <si>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</si>
  <si>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</si>
  <si>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</si>
  <si>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</si>
  <si>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</si>
  <si>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</si>
  <si>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</si>
  <si>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</si>
  <si>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</si>
  <si>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</si>
  <si>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</si>
  <si>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</si>
  <si>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</si>
  <si>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</si>
  <si>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</si>
  <si>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</si>
  <si>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</si>
  <si>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</si>
  <si>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</si>
  <si>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</si>
  <si>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</si>
  <si>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</si>
  <si>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</si>
  <si>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</si>
  <si>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</si>
  <si>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</si>
  <si>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</si>
  <si>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</si>
  <si>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</si>
  <si>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</si>
  <si>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</si>
  <si>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</si>
  <si>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</si>
  <si>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</si>
  <si>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</si>
  <si>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</si>
  <si>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</si>
  <si>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</si>
  <si>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</si>
  <si>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</si>
  <si>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</si>
  <si>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</si>
  <si>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</si>
  <si>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</si>
  <si>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</si>
  <si>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</si>
  <si>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</si>
  <si>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</si>
  <si>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</si>
  <si>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</si>
  <si>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</si>
  <si>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</si>
  <si>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</si>
  <si>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</si>
  <si>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</si>
  <si>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</si>
  <si>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</si>
  <si>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</si>
  <si>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</si>
  <si>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</si>
  <si>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</si>
  <si>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</si>
  <si>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</si>
  <si>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</si>
  <si>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</si>
  <si>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</si>
  <si>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</si>
  <si>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</si>
  <si>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</si>
  <si>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</si>
  <si>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</si>
  <si>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</si>
  <si>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</si>
  <si>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</si>
  <si>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</si>
  <si>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</si>
  <si>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</si>
  <si>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</si>
  <si>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</si>
  <si>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</si>
  <si>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</si>
  <si>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</si>
  <si>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</si>
  <si>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</si>
  <si>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</si>
  <si>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</si>
  <si>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</si>
  <si>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</si>
  <si>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</si>
  <si>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</si>
  <si>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</si>
  <si>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</si>
  <si>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</si>
  <si>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</si>
  <si>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</si>
  <si>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</si>
  <si>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</si>
  <si>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</si>
  <si>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</si>
  <si>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</si>
  <si>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</si>
  <si>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</si>
  <si>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</si>
  <si>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</si>
  <si>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</si>
  <si>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</si>
  <si>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</si>
  <si>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</si>
  <si>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</si>
  <si>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</si>
  <si>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</si>
  <si>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</si>
  <si>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</si>
  <si>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</si>
  <si>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</si>
  <si>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</si>
  <si>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</si>
  <si>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</si>
  <si>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</si>
  <si>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</si>
  <si>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</si>
  <si>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</si>
  <si>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</si>
  <si>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</si>
  <si>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</si>
  <si>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</si>
  <si>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</si>
  <si>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</si>
  <si>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</si>
  <si>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</si>
  <si>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</si>
  <si>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</si>
  <si>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</si>
  <si>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</si>
  <si>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</si>
  <si>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</si>
  <si>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</si>
  <si>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</si>
  <si>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</si>
  <si>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</si>
  <si>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</si>
  <si>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</si>
  <si>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</si>
  <si>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</si>
  <si>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</si>
  <si>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</si>
  <si>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</si>
  <si>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</si>
  <si>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</si>
  <si>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</si>
  <si>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</si>
  <si>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</si>
  <si>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</si>
  <si>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</si>
  <si>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</si>
  <si>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</si>
  <si>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</si>
  <si>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</si>
  <si>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</si>
  <si>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</si>
  <si>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</si>
  <si>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</si>
  <si>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</si>
  <si>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</si>
  <si>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</si>
  <si>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</si>
  <si>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</si>
  <si>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</si>
  <si>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</si>
  <si>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</si>
  <si>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</si>
  <si>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</si>
  <si>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</si>
  <si>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</si>
  <si>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</si>
  <si>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</si>
  <si>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</si>
  <si>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</si>
  <si>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</si>
  <si>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</si>
  <si>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</si>
  <si>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</si>
  <si>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</si>
  <si>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</si>
  <si>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</si>
  <si>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</si>
  <si>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</si>
  <si>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</si>
  <si>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</si>
  <si>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</si>
  <si>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</si>
  <si>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</si>
  <si>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</si>
  <si>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</si>
  <si>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</si>
  <si>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</si>
  <si>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</si>
  <si>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</si>
  <si>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</si>
  <si>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</si>
  <si>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</si>
  <si>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</si>
  <si>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</si>
  <si>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</si>
  <si>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</si>
  <si>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</si>
  <si>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</si>
  <si>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</si>
  <si>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</si>
  <si>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</si>
  <si>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</si>
  <si>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</si>
  <si>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</si>
  <si>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</si>
  <si>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</si>
  <si>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</si>
  <si>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</si>
  <si>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</si>
  <si>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</si>
  <si>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</si>
  <si>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</si>
  <si>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</si>
  <si>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</si>
  <si>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</si>
  <si>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</si>
  <si>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</si>
  <si>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</si>
  <si>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</si>
  <si>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</si>
  <si>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</si>
  <si>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</si>
  <si>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</si>
  <si>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</si>
  <si>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</si>
  <si>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</si>
  <si>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</si>
  <si>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</si>
  <si>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</si>
  <si>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</si>
  <si>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</si>
  <si>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</si>
  <si>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</si>
  <si>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</si>
  <si>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</si>
  <si>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</si>
  <si>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</si>
  <si>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</si>
  <si>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</si>
  <si>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</si>
  <si>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</si>
  <si>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</si>
  <si>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</si>
  <si>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</si>
  <si>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</si>
  <si>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</si>
  <si>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</si>
  <si>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</si>
  <si>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</si>
  <si>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</si>
  <si>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</si>
  <si>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</si>
  <si>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</si>
  <si>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</si>
  <si>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</si>
  <si>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</si>
  <si>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</si>
  <si>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</si>
  <si>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</si>
  <si>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</si>
  <si>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</si>
  <si>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</si>
  <si>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</si>
  <si>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</si>
  <si>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</si>
  <si>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</si>
  <si>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</si>
  <si>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</si>
  <si>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</si>
  <si>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</si>
  <si>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</si>
  <si>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</si>
  <si>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</si>
  <si>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</si>
  <si>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</si>
  <si>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</si>
  <si>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</si>
  <si>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</si>
  <si>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</si>
  <si>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</si>
  <si>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</si>
  <si>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</si>
  <si>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</si>
  <si>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</si>
  <si>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</si>
  <si>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</si>
  <si>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</si>
  <si>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</si>
  <si>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</si>
  <si>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</si>
  <si>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</si>
  <si>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</si>
  <si>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</si>
  <si>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</si>
  <si>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</si>
  <si>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</si>
  <si>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</si>
  <si>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</si>
  <si>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</si>
  <si>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</si>
  <si>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</si>
  <si>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</si>
  <si>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</si>
  <si>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</si>
  <si>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</si>
  <si>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</si>
  <si>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</si>
  <si>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</si>
  <si>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</si>
  <si>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</si>
  <si>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</si>
  <si>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</si>
  <si>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</si>
  <si>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</si>
  <si>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</si>
  <si>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</si>
  <si>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</si>
  <si>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</si>
  <si>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</si>
  <si>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</si>
  <si>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</si>
  <si>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</si>
  <si>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</si>
  <si>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</si>
  <si>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</si>
  <si>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</si>
  <si>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</si>
  <si>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</si>
  <si>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</si>
  <si>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</si>
  <si>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</si>
  <si>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</si>
  <si>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</si>
  <si>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</si>
  <si>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</si>
  <si>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</si>
  <si>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</si>
  <si>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</si>
  <si>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</si>
  <si>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</si>
  <si>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</si>
  <si>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</si>
  <si>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</si>
  <si>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</si>
  <si>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</si>
  <si>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</si>
  <si>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</si>
  <si>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</si>
  <si>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</si>
  <si>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</si>
  <si>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</si>
  <si>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</si>
  <si>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</si>
  <si>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</si>
  <si>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</si>
  <si>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</si>
  <si>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</si>
  <si>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</si>
  <si>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</si>
  <si>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</si>
  <si>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</si>
  <si>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</si>
  <si>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</si>
  <si>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</si>
  <si>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</si>
  <si>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</si>
  <si>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</si>
  <si>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</si>
  <si>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</si>
  <si>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</si>
  <si>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</si>
  <si>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</si>
  <si>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</si>
  <si>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</si>
  <si>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</si>
  <si>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</si>
  <si>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</si>
  <si>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</si>
  <si>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</si>
  <si>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</si>
  <si>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</si>
  <si>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</si>
  <si>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</si>
  <si>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</si>
  <si>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</si>
  <si>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</si>
  <si>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</si>
  <si>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</si>
  <si>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</si>
  <si>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</si>
  <si>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</si>
  <si>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</si>
  <si>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</si>
  <si>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</si>
  <si>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</si>
  <si>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</si>
  <si>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</si>
  <si>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</si>
  <si>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</si>
  <si>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</si>
  <si>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</si>
  <si>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</si>
  <si>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</si>
  <si>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</si>
  <si>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</si>
  <si>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</si>
  <si>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</si>
  <si>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</si>
  <si>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</si>
  <si>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</si>
  <si>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</si>
  <si>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</si>
  <si>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</si>
  <si>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</si>
  <si>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</si>
  <si>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</si>
  <si>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</si>
  <si>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</si>
  <si>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</si>
  <si>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</si>
  <si>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</si>
  <si>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</si>
  <si>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</si>
  <si>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</si>
  <si>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</si>
  <si>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</si>
  <si>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</si>
  <si>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</si>
  <si>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</si>
  <si>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</si>
  <si>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</si>
  <si>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</si>
  <si>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</si>
  <si>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</si>
  <si>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</si>
  <si>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</si>
  <si>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</si>
  <si>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</si>
  <si>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</si>
  <si>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</si>
  <si>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</si>
  <si>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</si>
  <si>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</si>
  <si>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</si>
  <si>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</si>
  <si>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</si>
  <si>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</si>
  <si>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</si>
  <si>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</si>
  <si>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</si>
  <si>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</si>
  <si>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</si>
  <si>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</si>
  <si>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</si>
  <si>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</si>
  <si>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</si>
  <si>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</si>
  <si>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</si>
  <si>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</si>
  <si>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</si>
  <si>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</si>
  <si>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</si>
  <si>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</si>
  <si>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</si>
  <si>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</si>
  <si>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</si>
  <si>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</si>
  <si>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</si>
  <si>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</si>
  <si>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</si>
  <si>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</si>
  <si>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</si>
  <si>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</si>
  <si>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</si>
  <si>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</si>
  <si>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</si>
  <si>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</si>
  <si>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</si>
  <si>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</si>
  <si>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</si>
  <si>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</si>
  <si>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</si>
  <si>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</si>
  <si>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</si>
  <si>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</si>
  <si>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</si>
  <si>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</si>
  <si>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</si>
  <si>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</si>
  <si>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</si>
  <si>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</si>
  <si>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</si>
  <si>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</si>
  <si>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</si>
  <si>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</si>
  <si>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</si>
  <si>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</si>
  <si>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</si>
  <si>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</si>
  <si>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</si>
  <si>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</si>
  <si>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</si>
  <si>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</si>
  <si>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</si>
  <si>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</si>
  <si>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</si>
  <si>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</si>
  <si>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</si>
  <si>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</si>
  <si>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</si>
  <si>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</si>
  <si>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</si>
  <si>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</si>
  <si>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</si>
  <si>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</si>
  <si>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</si>
  <si>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</si>
  <si>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</si>
  <si>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</si>
  <si>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</si>
  <si>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</si>
  <si>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</si>
  <si>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</si>
  <si>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</si>
  <si>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</si>
  <si>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</si>
  <si>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</si>
  <si>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</si>
  <si>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</si>
  <si>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</si>
  <si>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</si>
  <si>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</si>
  <si>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</si>
  <si>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</si>
  <si>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</si>
  <si>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</si>
  <si>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</si>
  <si>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</si>
  <si>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</si>
  <si>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</si>
  <si>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</si>
  <si>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</si>
  <si>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</si>
  <si>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</si>
  <si>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</si>
  <si>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</si>
  <si>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</si>
  <si>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</si>
  <si>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</si>
  <si>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</si>
  <si>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</si>
  <si>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</si>
  <si>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</si>
  <si>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</si>
  <si>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</si>
  <si>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</si>
  <si>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</si>
  <si>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</si>
  <si>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</si>
  <si>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</si>
  <si>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</si>
  <si>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</si>
  <si>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</si>
  <si>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</si>
  <si>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</si>
  <si>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</si>
  <si>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</si>
  <si>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</si>
  <si>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</si>
  <si>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</si>
  <si>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</si>
  <si>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</si>
  <si>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</si>
  <si>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</si>
  <si>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</si>
  <si>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</si>
  <si>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</si>
  <si>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</si>
  <si>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</si>
  <si>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</si>
  <si>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</si>
  <si>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</si>
  <si>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</si>
  <si>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</si>
  <si>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</si>
  <si>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</si>
  <si>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</si>
  <si>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</si>
  <si>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</si>
  <si>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</si>
  <si>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</si>
  <si>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</si>
  <si>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</si>
  <si>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</si>
  <si>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</si>
  <si>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</si>
  <si>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</si>
  <si>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</si>
  <si>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</si>
  <si>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</si>
  <si>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</si>
  <si>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</si>
  <si>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</si>
  <si>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</si>
  <si>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</si>
  <si>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</si>
  <si>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</si>
  <si>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</si>
  <si>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</si>
  <si>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</si>
  <si>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</si>
  <si>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</si>
  <si>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</si>
  <si>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</si>
  <si>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</si>
  <si>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</si>
  <si>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</si>
  <si>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</si>
  <si>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</si>
  <si>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</si>
  <si>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</si>
  <si>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</si>
  <si>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</si>
  <si>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</si>
  <si>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</si>
  <si>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</si>
  <si>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</si>
  <si>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</si>
  <si>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</si>
  <si>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</si>
  <si>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</si>
  <si>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</si>
  <si>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</si>
  <si>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</si>
  <si>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</si>
  <si>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</si>
  <si>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</si>
  <si>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</si>
  <si>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</si>
  <si>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</si>
  <si>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</si>
  <si>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</si>
  <si>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</si>
  <si>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</si>
  <si>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</si>
  <si>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</si>
  <si>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</si>
  <si>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</si>
  <si>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</si>
  <si>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</si>
  <si>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</si>
  <si>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</si>
  <si>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</si>
  <si>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</si>
  <si>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</si>
  <si>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</si>
  <si>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</si>
  <si>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</si>
  <si>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</si>
  <si>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</si>
  <si>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</si>
  <si>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</si>
  <si>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</si>
  <si>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</si>
  <si>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</si>
  <si>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</si>
  <si>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</si>
  <si>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</si>
  <si>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</si>
  <si>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</si>
  <si>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</si>
  <si>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</si>
  <si>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</si>
  <si>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</si>
  <si>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</si>
  <si>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</si>
  <si>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</si>
  <si>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</si>
  <si>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</si>
  <si>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</si>
  <si>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</si>
  <si>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</si>
  <si>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</si>
  <si>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</si>
  <si>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</si>
  <si>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</si>
  <si>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</si>
  <si>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</si>
  <si>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</si>
  <si>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</si>
  <si>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</si>
  <si>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</si>
  <si>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</si>
  <si>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</si>
  <si>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</si>
  <si>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</si>
  <si>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</si>
  <si>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</si>
  <si>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</si>
  <si>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</si>
  <si>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</si>
  <si>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</si>
  <si>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</si>
  <si>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</si>
  <si>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</si>
  <si>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</si>
  <si>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</si>
  <si>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</si>
  <si>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</si>
  <si>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</si>
  <si>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</si>
  <si>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</si>
  <si>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</si>
  <si>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</si>
  <si>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</si>
  <si>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</si>
  <si>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</si>
  <si>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</si>
  <si>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</si>
  <si>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</si>
  <si>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</si>
  <si>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</si>
  <si>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</si>
  <si>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</si>
  <si>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</si>
  <si>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</si>
  <si>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</si>
  <si>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</si>
  <si>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</si>
  <si>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</si>
  <si>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</si>
  <si>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</si>
  <si>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</si>
  <si>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</si>
  <si>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</si>
  <si>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</si>
  <si>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</si>
  <si>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</si>
  <si>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</si>
  <si>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</si>
  <si>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</si>
  <si>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</si>
  <si>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</si>
  <si>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</si>
  <si>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</si>
  <si>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</si>
  <si>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</si>
  <si>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</si>
  <si>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</si>
  <si>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</si>
  <si>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</si>
  <si>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</si>
  <si>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</si>
  <si>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</si>
  <si>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</si>
  <si>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</si>
  <si>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</si>
  <si>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</si>
  <si>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</si>
  <si>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</si>
  <si>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</si>
  <si>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</si>
  <si>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</si>
  <si>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</si>
  <si>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</si>
  <si>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</si>
  <si>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</si>
  <si>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</si>
  <si>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</si>
  <si>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</si>
  <si>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</si>
  <si>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</si>
  <si>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</si>
  <si>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</si>
  <si>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</si>
  <si>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</si>
  <si>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</si>
  <si>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</si>
  <si>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</si>
  <si>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</si>
  <si>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</si>
  <si>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</si>
  <si>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</si>
  <si>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</si>
  <si>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</si>
  <si>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</si>
  <si>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</si>
  <si>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</si>
  <si>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</si>
  <si>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</si>
  <si>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</si>
  <si>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</si>
  <si>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</si>
  <si>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</si>
  <si>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</si>
  <si>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</si>
  <si>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</si>
  <si>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</si>
  <si>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</si>
  <si>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</si>
  <si>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</si>
  <si>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</si>
  <si>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</si>
  <si>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</si>
  <si>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</si>
  <si>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</si>
  <si>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</si>
  <si>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</si>
  <si>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</si>
  <si>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</si>
  <si>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</si>
  <si>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</si>
  <si>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</si>
  <si>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</si>
  <si>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</si>
  <si>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</si>
  <si>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</si>
  <si>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</si>
  <si>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</si>
  <si>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</si>
  <si>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</si>
  <si>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</si>
  <si>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</si>
  <si>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</si>
  <si>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</si>
  <si>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</si>
  <si>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</si>
  <si>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</si>
  <si>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</si>
  <si>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</si>
  <si>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</si>
  <si>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</si>
  <si>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</si>
  <si>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</si>
  <si>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</si>
  <si>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</si>
  <si>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</si>
  <si>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</si>
  <si>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</si>
  <si>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</si>
  <si>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</si>
  <si>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</si>
  <si>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</si>
  <si>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</si>
  <si>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</si>
  <si>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</si>
  <si>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</si>
  <si>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</si>
  <si>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</si>
  <si>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</si>
  <si>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</si>
  <si>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</si>
  <si>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</si>
  <si>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</si>
  <si>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</si>
  <si>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</si>
  <si>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</si>
  <si>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</si>
  <si>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</si>
  <si>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</si>
  <si>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</si>
  <si>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</si>
  <si>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</si>
  <si>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</si>
  <si>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</si>
  <si>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</si>
  <si>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</si>
  <si>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</si>
  <si>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</si>
  <si>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</si>
  <si>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</si>
  <si>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</si>
  <si>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</si>
  <si>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</si>
  <si>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</si>
  <si>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</si>
  <si>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</si>
  <si>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</si>
  <si>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</si>
  <si>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</si>
  <si>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</si>
  <si>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</si>
  <si>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</si>
  <si>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</si>
  <si>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</si>
  <si>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</si>
  <si>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</si>
  <si>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</si>
  <si>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</si>
  <si>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</si>
  <si>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</si>
  <si>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</si>
  <si>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</si>
  <si>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</si>
  <si>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</si>
  <si>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</si>
  <si>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</si>
  <si>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</si>
  <si>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</si>
  <si>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</si>
  <si>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</si>
  <si>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</si>
  <si>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</si>
  <si>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</si>
  <si>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</si>
  <si>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</si>
  <si>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</si>
  <si>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</si>
  <si>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</si>
  <si>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</si>
  <si>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</si>
  <si>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</si>
  <si>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</si>
  <si>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</si>
  <si>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</si>
  <si>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</si>
  <si>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</si>
  <si>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</si>
  <si>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</si>
  <si>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</si>
  <si>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</si>
  <si>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</si>
  <si>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</si>
  <si>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</si>
  <si>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</si>
  <si>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</si>
  <si>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</si>
  <si>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</si>
  <si>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</si>
  <si>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</si>
  <si>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</si>
  <si>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</si>
  <si>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</si>
  <si>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</si>
  <si>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</si>
  <si>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</si>
  <si>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</si>
  <si>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</si>
  <si>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</si>
  <si>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</si>
  <si>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</si>
  <si>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</si>
  <si>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</si>
  <si>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</si>
  <si>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</si>
  <si>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</si>
  <si>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</si>
  <si>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</si>
  <si>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</si>
  <si>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</si>
  <si>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</si>
  <si>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</si>
  <si>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</si>
  <si>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</si>
  <si>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</si>
  <si>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</si>
  <si>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Ludwig KROHNE GmbH &amp; Co.</t>
  </si>
  <si>
    <t>KROHNE measuring instruments (flow, level, pressure, temperature, analytics)</t>
  </si>
  <si>
    <t>RONJAT Christophe</t>
  </si>
  <si>
    <t>c.ronjat@krohne.com</t>
  </si>
  <si>
    <t>+33475054461</t>
  </si>
  <si>
    <t>Senior Vice President Quality H&amp;SE KROHNE Group</t>
  </si>
  <si>
    <t>If  instruments with tantalum sensors are ordered</t>
  </si>
  <si>
    <t>Used in all electronic solders</t>
  </si>
  <si>
    <t>If instruments with electronics are ordered</t>
  </si>
  <si>
    <t>If instruments with Hastelloy sensors are ordered</t>
  </si>
  <si>
    <t>As long as we don't have 100% of response, we cannot state "yes"</t>
  </si>
  <si>
    <t>KROHNE’s Business Partners -Code of Conduct and HSE Suppliers’ policy</t>
  </si>
  <si>
    <t>https://krohne.com/en/company/quality-sustainability/social-and-ethical/</t>
  </si>
  <si>
    <t>KROHNE’s Business Partners -Code of Conduct and HSE Suppliers’ policy to be endorsed by suppliers + CMRT</t>
  </si>
  <si>
    <t>ALTO</t>
  </si>
  <si>
    <t>KIAB</t>
  </si>
  <si>
    <t>KMT - WAGO</t>
  </si>
  <si>
    <t xml:space="preserve">KAI - Kester
RCOI = reasonable country of origin inquiry.  
Used in Kester's solder paste supply chain. </t>
  </si>
  <si>
    <t>KAI - Kester
Also used by Japan subcontractors.</t>
  </si>
  <si>
    <t>KAI - Kester</t>
  </si>
  <si>
    <t>KMTS - Jinling</t>
  </si>
  <si>
    <t>KMTS - Yiting</t>
  </si>
  <si>
    <t>KLTD - Micron</t>
  </si>
  <si>
    <t>KLTD - Elite</t>
  </si>
  <si>
    <t>KLTD North Devon Electronics</t>
  </si>
  <si>
    <t>KLTD - Warton Metals</t>
  </si>
  <si>
    <t>KSAS - WHS Sondermetalle</t>
  </si>
  <si>
    <t>KSAS - SORED</t>
  </si>
  <si>
    <t>KSAS - Tantec</t>
  </si>
  <si>
    <t>KSAS - Ultratech</t>
  </si>
  <si>
    <t>KSAS - Umicore &amp; Ultratech</t>
  </si>
  <si>
    <t>KMT - ZAPP - Bohler</t>
  </si>
  <si>
    <t>KMT - ZAPP - VDM</t>
  </si>
  <si>
    <t>KMT - Sandwick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</si>
</sst>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56"/>
      </left>
      <right style="thick">
        <color indexed="64"/>
      </right>
      <top style="thin">
        <color indexed="56"/>
      </top>
      <bottom/>
      <diagonal/>
    </border>
    <border>
      <left style="thin">
        <color indexed="64"/>
      </left>
      <right style="thick">
        <color indexed="64"/>
      </right>
      <top style="thin">
        <color indexed="64"/>
      </top>
      <bottom style="thin">
        <color indexed="64"/>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59">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0" fillId="0" borderId="57" xfId="0" applyBorder="1" applyAlignment="1" applyProtection="1">
      <alignment wrapText="1"/>
      <protection locked="0"/>
    </xf>
    <xf numFmtId="0" fontId="0" fillId="0" borderId="57" xfId="0" applyBorder="1" applyAlignment="1" applyProtection="1">
      <alignment vertical="center" wrapText="1"/>
      <protection locked="0"/>
    </xf>
    <xf numFmtId="0" fontId="0" fillId="33" borderId="65" xfId="0" applyFill="1" applyBorder="1" applyAlignment="1" applyProtection="1">
      <alignment horizontal="left" vertical="center" wrapText="1"/>
      <protection locked="0"/>
    </xf>
    <xf numFmtId="0" fontId="0" fillId="0" borderId="66" xfId="0" applyBorder="1" applyAlignment="1" applyProtection="1">
      <alignment wrapText="1"/>
      <protection locked="0"/>
    </xf>
    <xf numFmtId="0" fontId="0" fillId="0" borderId="66" xfId="0" applyBorder="1" applyAlignment="1" applyProtection="1">
      <alignment vertical="center" wrapText="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 fillId="33" borderId="61" xfId="487" applyNumberFormat="1" applyFill="1" applyBorder="1" applyAlignment="1" applyProtection="1">
      <alignment horizontal="left" vertical="center" wrapText="1"/>
      <protection locked="0"/>
    </xf>
    <xf numFmtId="49" fontId="98" fillId="33" borderId="10" xfId="0" applyNumberFormat="1" applyFont="1" applyFill="1" applyBorder="1" applyAlignment="1" applyProtection="1">
      <alignment horizontal="left" vertical="center" wrapText="1"/>
      <protection locked="0"/>
    </xf>
    <xf numFmtId="49" fontId="98" fillId="33"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ronjat@krohn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krohne.com/en/company/quality-sustainability/social-and-ethical/" TargetMode="External"/><Relationship Id="rId4" Type="http://schemas.openxmlformats.org/officeDocument/2006/relationships/hyperlink" Target="mailto:c.ronjat@krohn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2"/>
      <c r="B2" s="38" t="s">
        <v>847</v>
      </c>
      <c r="C2" s="36"/>
      <c r="D2" s="206"/>
      <c r="E2" s="3"/>
      <c r="F2" s="36"/>
      <c r="G2" s="34"/>
    </row>
    <row r="3" spans="1:7">
      <c r="A3" s="362"/>
      <c r="B3" s="5" t="s">
        <v>839</v>
      </c>
      <c r="C3" s="6"/>
      <c r="D3" s="207"/>
      <c r="E3" s="3"/>
      <c r="F3" s="6"/>
      <c r="G3" s="34"/>
    </row>
    <row r="4" spans="1:7" ht="15.75">
      <c r="A4" s="362"/>
      <c r="B4" s="41" t="s">
        <v>849</v>
      </c>
      <c r="C4" s="7"/>
      <c r="D4" s="208"/>
      <c r="E4" s="3"/>
      <c r="F4" s="7"/>
      <c r="G4" s="34"/>
    </row>
    <row r="5" spans="1:7">
      <c r="A5" s="362"/>
      <c r="B5" s="40" t="s">
        <v>1040</v>
      </c>
      <c r="C5" s="4"/>
      <c r="D5" s="209"/>
      <c r="E5" s="3"/>
      <c r="F5" s="4"/>
      <c r="G5" s="34"/>
    </row>
    <row r="6" spans="1:7">
      <c r="A6" s="362"/>
      <c r="B6" s="8"/>
      <c r="C6" s="8"/>
      <c r="D6" s="210"/>
      <c r="E6" s="8"/>
      <c r="F6" s="8"/>
      <c r="G6" s="34"/>
    </row>
    <row r="7" spans="1:7">
      <c r="A7" s="362"/>
      <c r="B7" s="8"/>
      <c r="C7" s="8"/>
      <c r="D7" s="210"/>
      <c r="E7" s="8"/>
      <c r="F7" s="8"/>
      <c r="G7" s="34"/>
    </row>
    <row r="8" spans="1:7">
      <c r="A8" s="362"/>
      <c r="B8" s="8"/>
      <c r="C8" s="8"/>
      <c r="D8" s="210"/>
      <c r="E8" s="8"/>
      <c r="F8" s="8"/>
      <c r="G8" s="34"/>
    </row>
    <row r="9" spans="1:7">
      <c r="A9" s="362"/>
      <c r="B9" s="365" t="s">
        <v>850</v>
      </c>
      <c r="C9" s="365"/>
      <c r="D9" s="365"/>
      <c r="E9" s="365"/>
      <c r="F9" s="365"/>
      <c r="G9" s="34"/>
    </row>
    <row r="10" spans="1:7" ht="27" customHeight="1">
      <c r="A10" s="362"/>
      <c r="B10" s="366" t="s">
        <v>438</v>
      </c>
      <c r="C10" s="366"/>
      <c r="D10" s="366"/>
      <c r="E10" s="366"/>
      <c r="F10" s="366"/>
      <c r="G10" s="34"/>
    </row>
    <row r="11" spans="1:7" ht="27" customHeight="1">
      <c r="A11" s="362"/>
      <c r="B11" s="367"/>
      <c r="C11" s="367"/>
      <c r="D11" s="367"/>
      <c r="E11" s="367"/>
      <c r="F11" s="367"/>
      <c r="G11" s="34"/>
    </row>
    <row r="12" spans="1:7">
      <c r="A12" s="362"/>
      <c r="B12" s="42" t="s">
        <v>848</v>
      </c>
      <c r="C12" s="43" t="s">
        <v>851</v>
      </c>
      <c r="D12" s="211" t="s">
        <v>852</v>
      </c>
      <c r="E12" s="43" t="s">
        <v>612</v>
      </c>
      <c r="F12" s="43" t="s">
        <v>613</v>
      </c>
      <c r="G12" s="34"/>
    </row>
    <row r="13" spans="1:7" ht="33.75">
      <c r="A13" s="362"/>
      <c r="B13" s="2">
        <v>1</v>
      </c>
      <c r="C13" s="37" t="s">
        <v>1088</v>
      </c>
      <c r="D13" s="39" t="s">
        <v>876</v>
      </c>
      <c r="E13" s="194" t="s">
        <v>853</v>
      </c>
      <c r="F13" s="194"/>
      <c r="G13" s="34"/>
    </row>
    <row r="14" spans="1:7" ht="45">
      <c r="A14" s="362"/>
      <c r="B14" s="2">
        <v>2</v>
      </c>
      <c r="C14" s="37" t="s">
        <v>1088</v>
      </c>
      <c r="D14" s="39" t="s">
        <v>1025</v>
      </c>
      <c r="E14" s="194" t="s">
        <v>530</v>
      </c>
      <c r="F14" s="194" t="s">
        <v>531</v>
      </c>
      <c r="G14" s="34"/>
    </row>
    <row r="15" spans="1:7" ht="89.1" customHeight="1">
      <c r="A15" s="362"/>
      <c r="B15" s="368">
        <v>2.0099999999999998</v>
      </c>
      <c r="C15" s="359" t="s">
        <v>1088</v>
      </c>
      <c r="D15" s="371" t="s">
        <v>2265</v>
      </c>
      <c r="E15" s="195" t="s">
        <v>614</v>
      </c>
      <c r="F15" s="195" t="s">
        <v>617</v>
      </c>
      <c r="G15" s="34"/>
    </row>
    <row r="16" spans="1:7" ht="99" customHeight="1">
      <c r="A16" s="362"/>
      <c r="B16" s="369"/>
      <c r="C16" s="360"/>
      <c r="D16" s="372"/>
      <c r="E16" s="196"/>
      <c r="F16" s="196" t="s">
        <v>615</v>
      </c>
      <c r="G16" s="34"/>
    </row>
    <row r="17" spans="1:7" ht="63" customHeight="1">
      <c r="A17" s="362"/>
      <c r="B17" s="370"/>
      <c r="C17" s="361"/>
      <c r="D17" s="373"/>
      <c r="E17" s="37"/>
      <c r="F17" s="37" t="s">
        <v>616</v>
      </c>
      <c r="G17" s="34"/>
    </row>
    <row r="18" spans="1:7" ht="117" customHeight="1">
      <c r="A18" s="362"/>
      <c r="B18" s="368">
        <v>2.02</v>
      </c>
      <c r="C18" s="359" t="s">
        <v>1088</v>
      </c>
      <c r="D18" s="371" t="s">
        <v>2266</v>
      </c>
      <c r="E18" s="195" t="s">
        <v>439</v>
      </c>
      <c r="F18" s="195" t="s">
        <v>525</v>
      </c>
      <c r="G18" s="34"/>
    </row>
    <row r="19" spans="1:7" ht="71.099999999999994" customHeight="1">
      <c r="A19" s="362"/>
      <c r="B19" s="369"/>
      <c r="C19" s="360"/>
      <c r="D19" s="372"/>
      <c r="E19" s="196" t="s">
        <v>529</v>
      </c>
      <c r="F19" s="196" t="s">
        <v>440</v>
      </c>
      <c r="G19" s="34"/>
    </row>
    <row r="20" spans="1:7" ht="90.75" customHeight="1">
      <c r="A20" s="362"/>
      <c r="B20" s="369"/>
      <c r="C20" s="360"/>
      <c r="D20" s="372"/>
      <c r="E20" s="196"/>
      <c r="F20" s="196" t="s">
        <v>619</v>
      </c>
      <c r="G20" s="34"/>
    </row>
    <row r="21" spans="1:7" ht="74.25" customHeight="1">
      <c r="A21" s="362"/>
      <c r="B21" s="370"/>
      <c r="C21" s="361"/>
      <c r="D21" s="373"/>
      <c r="E21" s="37"/>
      <c r="F21" s="37" t="s">
        <v>618</v>
      </c>
      <c r="G21" s="34"/>
    </row>
    <row r="22" spans="1:7" ht="90" customHeight="1">
      <c r="A22" s="362"/>
      <c r="B22" s="377">
        <v>2.0299999999999998</v>
      </c>
      <c r="C22" s="377" t="s">
        <v>822</v>
      </c>
      <c r="D22" s="380" t="s">
        <v>2267</v>
      </c>
      <c r="E22" s="359" t="s">
        <v>437</v>
      </c>
      <c r="F22" s="195" t="s">
        <v>460</v>
      </c>
      <c r="G22" s="34"/>
    </row>
    <row r="23" spans="1:7" ht="109.5" customHeight="1">
      <c r="A23" s="362"/>
      <c r="B23" s="378"/>
      <c r="C23" s="378"/>
      <c r="D23" s="381"/>
      <c r="E23" s="360"/>
      <c r="F23" s="196" t="s">
        <v>823</v>
      </c>
      <c r="G23" s="34"/>
    </row>
    <row r="24" spans="1:7" ht="74.25" customHeight="1">
      <c r="A24" s="362"/>
      <c r="B24" s="379"/>
      <c r="C24" s="379"/>
      <c r="D24" s="382"/>
      <c r="E24" s="361"/>
      <c r="F24" s="37" t="s">
        <v>436</v>
      </c>
      <c r="G24" s="34"/>
    </row>
    <row r="25" spans="1:7" ht="72" customHeight="1">
      <c r="A25" s="362"/>
      <c r="B25" s="2" t="s">
        <v>458</v>
      </c>
      <c r="C25" s="37" t="s">
        <v>459</v>
      </c>
      <c r="D25" s="39" t="s">
        <v>2268</v>
      </c>
      <c r="E25" s="37" t="s">
        <v>2263</v>
      </c>
      <c r="F25" s="37" t="s">
        <v>461</v>
      </c>
      <c r="G25" s="34"/>
    </row>
    <row r="26" spans="1:7" ht="98.1" customHeight="1">
      <c r="A26" s="362"/>
      <c r="B26" s="374">
        <v>3</v>
      </c>
      <c r="C26" s="368" t="s">
        <v>70</v>
      </c>
      <c r="D26" s="371" t="s">
        <v>2269</v>
      </c>
      <c r="E26" s="359" t="s">
        <v>0</v>
      </c>
      <c r="F26" s="195" t="s">
        <v>64</v>
      </c>
      <c r="G26" s="34"/>
    </row>
    <row r="27" spans="1:7" ht="90" customHeight="1">
      <c r="A27" s="362"/>
      <c r="B27" s="375"/>
      <c r="C27" s="369"/>
      <c r="D27" s="372"/>
      <c r="E27" s="360"/>
      <c r="F27" s="196" t="s">
        <v>59</v>
      </c>
      <c r="G27" s="34"/>
    </row>
    <row r="28" spans="1:7" ht="19.350000000000001" customHeight="1">
      <c r="A28" s="362"/>
      <c r="B28" s="375"/>
      <c r="C28" s="369"/>
      <c r="D28" s="372"/>
      <c r="E28" s="360"/>
      <c r="F28" s="196" t="s">
        <v>60</v>
      </c>
      <c r="G28" s="34"/>
    </row>
    <row r="29" spans="1:7" ht="74.45" customHeight="1">
      <c r="A29" s="362"/>
      <c r="B29" s="375"/>
      <c r="C29" s="369"/>
      <c r="D29" s="372"/>
      <c r="E29" s="360"/>
      <c r="F29" s="196" t="s">
        <v>61</v>
      </c>
      <c r="G29" s="34"/>
    </row>
    <row r="30" spans="1:7" ht="62.45" customHeight="1">
      <c r="A30" s="362"/>
      <c r="B30" s="375"/>
      <c r="C30" s="369"/>
      <c r="D30" s="372"/>
      <c r="E30" s="360"/>
      <c r="F30" s="196" t="s">
        <v>62</v>
      </c>
      <c r="G30" s="34"/>
    </row>
    <row r="31" spans="1:7" ht="81" customHeight="1">
      <c r="A31" s="362"/>
      <c r="B31" s="375"/>
      <c r="C31" s="369"/>
      <c r="D31" s="372"/>
      <c r="E31" s="360"/>
      <c r="F31" s="196" t="s">
        <v>63</v>
      </c>
      <c r="G31" s="34"/>
    </row>
    <row r="32" spans="1:7" ht="48.75" customHeight="1">
      <c r="A32" s="362"/>
      <c r="B32" s="375"/>
      <c r="C32" s="369"/>
      <c r="D32" s="372"/>
      <c r="E32" s="360"/>
      <c r="F32" s="196" t="s">
        <v>66</v>
      </c>
      <c r="G32" s="34"/>
    </row>
    <row r="33" spans="1:7" ht="98.45" customHeight="1">
      <c r="A33" s="362"/>
      <c r="B33" s="375"/>
      <c r="C33" s="369"/>
      <c r="D33" s="372"/>
      <c r="E33" s="360"/>
      <c r="F33" s="196" t="s">
        <v>65</v>
      </c>
      <c r="G33" s="34"/>
    </row>
    <row r="34" spans="1:7" ht="89.1" customHeight="1">
      <c r="A34" s="362"/>
      <c r="B34" s="375"/>
      <c r="C34" s="369"/>
      <c r="D34" s="372"/>
      <c r="E34" s="360"/>
      <c r="F34" s="196" t="s">
        <v>67</v>
      </c>
      <c r="G34" s="34"/>
    </row>
    <row r="35" spans="1:7" ht="29.1" customHeight="1">
      <c r="A35" s="362"/>
      <c r="B35" s="375"/>
      <c r="C35" s="369"/>
      <c r="D35" s="372"/>
      <c r="E35" s="360"/>
      <c r="F35" s="196" t="s">
        <v>68</v>
      </c>
      <c r="G35" s="34"/>
    </row>
    <row r="36" spans="1:7" ht="126.75">
      <c r="A36" s="362"/>
      <c r="B36" s="376"/>
      <c r="C36" s="370"/>
      <c r="D36" s="373"/>
      <c r="E36" s="361"/>
      <c r="F36" s="197" t="s">
        <v>69</v>
      </c>
      <c r="G36" s="34"/>
    </row>
    <row r="37" spans="1:7" ht="123.75">
      <c r="A37" s="362"/>
      <c r="B37" s="170">
        <v>3.01</v>
      </c>
      <c r="C37" s="171" t="s">
        <v>70</v>
      </c>
      <c r="D37" s="39" t="s">
        <v>2270</v>
      </c>
      <c r="E37" s="198" t="s">
        <v>1328</v>
      </c>
      <c r="F37" s="199" t="s">
        <v>1434</v>
      </c>
      <c r="G37" s="34"/>
    </row>
    <row r="38" spans="1:7" ht="112.5">
      <c r="A38" s="362"/>
      <c r="B38" s="170">
        <v>3.02</v>
      </c>
      <c r="C38" s="171" t="s">
        <v>1361</v>
      </c>
      <c r="D38" s="39" t="s">
        <v>2271</v>
      </c>
      <c r="E38" s="198" t="s">
        <v>1376</v>
      </c>
      <c r="F38" s="199" t="s">
        <v>1435</v>
      </c>
      <c r="G38" s="34"/>
    </row>
    <row r="39" spans="1:7" ht="101.25">
      <c r="A39" s="362"/>
      <c r="B39" s="180">
        <v>4</v>
      </c>
      <c r="C39" s="179" t="s">
        <v>1531</v>
      </c>
      <c r="D39" s="39" t="s">
        <v>2272</v>
      </c>
      <c r="E39" s="37" t="s">
        <v>2215</v>
      </c>
      <c r="F39" s="37" t="s">
        <v>1532</v>
      </c>
      <c r="G39" s="34"/>
    </row>
    <row r="40" spans="1:7" ht="56.25">
      <c r="A40" s="362"/>
      <c r="B40" s="170">
        <v>4.01</v>
      </c>
      <c r="C40" s="179" t="s">
        <v>1531</v>
      </c>
      <c r="D40" s="39" t="s">
        <v>2274</v>
      </c>
      <c r="E40" s="37" t="s">
        <v>2229</v>
      </c>
      <c r="F40" s="37" t="s">
        <v>2233</v>
      </c>
      <c r="G40" s="34"/>
    </row>
    <row r="41" spans="1:7" ht="56.25">
      <c r="A41" s="362"/>
      <c r="B41" s="170" t="s">
        <v>2261</v>
      </c>
      <c r="C41" s="179" t="s">
        <v>1531</v>
      </c>
      <c r="D41" s="39" t="s">
        <v>2273</v>
      </c>
      <c r="E41" s="37" t="s">
        <v>2264</v>
      </c>
      <c r="F41" s="37" t="s">
        <v>2262</v>
      </c>
      <c r="G41" s="34"/>
    </row>
    <row r="42" spans="1:7" ht="56.25">
      <c r="A42" s="362"/>
      <c r="B42" s="170" t="s">
        <v>2299</v>
      </c>
      <c r="C42" s="179" t="s">
        <v>1531</v>
      </c>
      <c r="D42" s="39" t="s">
        <v>2306</v>
      </c>
      <c r="E42" s="37" t="s">
        <v>2263</v>
      </c>
      <c r="F42" s="37" t="s">
        <v>2300</v>
      </c>
      <c r="G42" s="34"/>
    </row>
    <row r="43" spans="1:7" ht="123.75">
      <c r="A43" s="362"/>
      <c r="B43" s="191">
        <v>4.0999999999999996</v>
      </c>
      <c r="C43" s="179" t="s">
        <v>2305</v>
      </c>
      <c r="D43" s="192">
        <v>42867</v>
      </c>
      <c r="E43" s="200" t="s">
        <v>2308</v>
      </c>
      <c r="F43" s="37" t="s">
        <v>2307</v>
      </c>
      <c r="G43" s="34"/>
    </row>
    <row r="44" spans="1:7" ht="78.75">
      <c r="A44" s="362"/>
      <c r="B44" s="191">
        <v>4.2</v>
      </c>
      <c r="C44" s="179" t="s">
        <v>2305</v>
      </c>
      <c r="D44" s="192">
        <v>42704</v>
      </c>
      <c r="E44" s="200" t="s">
        <v>2510</v>
      </c>
      <c r="F44" s="37" t="s">
        <v>2485</v>
      </c>
      <c r="G44" s="34"/>
    </row>
    <row r="45" spans="1:7" ht="157.5">
      <c r="A45" s="362"/>
      <c r="B45" s="240">
        <v>5</v>
      </c>
      <c r="C45" s="179" t="s">
        <v>2305</v>
      </c>
      <c r="D45" s="192">
        <v>42867</v>
      </c>
      <c r="E45" s="200" t="s">
        <v>12917</v>
      </c>
      <c r="F45" s="37" t="s">
        <v>12639</v>
      </c>
      <c r="G45" s="34"/>
    </row>
    <row r="46" spans="1:7" ht="45">
      <c r="A46" s="362"/>
      <c r="B46" s="191">
        <v>5.01</v>
      </c>
      <c r="C46" s="179" t="s">
        <v>2305</v>
      </c>
      <c r="D46" s="192">
        <v>42907</v>
      </c>
      <c r="E46" s="200" t="s">
        <v>12935</v>
      </c>
      <c r="F46" s="37" t="s">
        <v>12639</v>
      </c>
      <c r="G46" s="34"/>
    </row>
    <row r="47" spans="1:7" ht="67.5">
      <c r="A47" s="362"/>
      <c r="B47" s="191">
        <v>5.0999999999999996</v>
      </c>
      <c r="C47" s="179" t="s">
        <v>2305</v>
      </c>
      <c r="D47" s="192">
        <v>43070</v>
      </c>
      <c r="E47" s="200" t="s">
        <v>13129</v>
      </c>
      <c r="F47" s="37" t="s">
        <v>13130</v>
      </c>
      <c r="G47" s="34"/>
    </row>
    <row r="48" spans="1:7" ht="56.25">
      <c r="A48" s="362"/>
      <c r="B48" s="191">
        <v>5.1100000000000003</v>
      </c>
      <c r="C48" s="179" t="s">
        <v>13371</v>
      </c>
      <c r="D48" s="192">
        <v>43217</v>
      </c>
      <c r="E48" s="200" t="s">
        <v>13499</v>
      </c>
      <c r="F48" s="37" t="s">
        <v>13405</v>
      </c>
      <c r="G48" s="34"/>
    </row>
    <row r="49" spans="1:7" ht="56.25">
      <c r="A49" s="362"/>
      <c r="B49" s="191">
        <v>5.12</v>
      </c>
      <c r="C49" s="179" t="s">
        <v>13371</v>
      </c>
      <c r="D49" s="192">
        <v>43581</v>
      </c>
      <c r="E49" s="200" t="s">
        <v>13499</v>
      </c>
      <c r="F49" s="37" t="s">
        <v>14064</v>
      </c>
      <c r="G49" s="34"/>
    </row>
    <row r="50" spans="1:7" ht="78.75">
      <c r="A50" s="362"/>
      <c r="B50" s="240">
        <v>6</v>
      </c>
      <c r="C50" s="179" t="s">
        <v>13371</v>
      </c>
      <c r="D50" s="192">
        <v>43964</v>
      </c>
      <c r="E50" s="200" t="s">
        <v>14291</v>
      </c>
      <c r="F50" s="37" t="s">
        <v>14074</v>
      </c>
      <c r="G50" s="34"/>
    </row>
    <row r="51" spans="1:7" ht="45">
      <c r="A51" s="362"/>
      <c r="B51" s="191">
        <v>6.01</v>
      </c>
      <c r="C51" s="179" t="s">
        <v>13371</v>
      </c>
      <c r="D51" s="192">
        <v>43970</v>
      </c>
      <c r="E51" s="200" t="s">
        <v>15309</v>
      </c>
      <c r="F51" s="200" t="s">
        <v>14074</v>
      </c>
      <c r="G51" s="34"/>
    </row>
    <row r="52" spans="1:7" ht="45">
      <c r="A52" s="362"/>
      <c r="B52" s="191">
        <v>6.1</v>
      </c>
      <c r="C52" s="179" t="s">
        <v>13371</v>
      </c>
      <c r="D52" s="192">
        <v>44314</v>
      </c>
      <c r="E52" s="200" t="s">
        <v>15314</v>
      </c>
      <c r="F52" s="200" t="s">
        <v>15319</v>
      </c>
      <c r="G52" s="34"/>
    </row>
    <row r="53" spans="1:7" ht="13.5" thickBot="1">
      <c r="A53" s="363"/>
      <c r="B53" s="364" t="str">
        <f ca="1">OFFSET(L!$C$1,MATCH("General"&amp;"Cpy",L!$A:$A,0)-1,SL,,)</f>
        <v>© 2021 Responsible Minerals Initiative. All rights reserved.</v>
      </c>
      <c r="C53" s="364"/>
      <c r="D53" s="364"/>
      <c r="E53" s="364"/>
      <c r="F53" s="364"/>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D6093B0-CC9B-4B51-AE4B-F7B7FB02FFC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30EE7EF-438C-4F48-8CC4-86EE254225F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83"/>
      <c r="B1" s="384"/>
      <c r="C1" s="384"/>
      <c r="D1" s="385"/>
    </row>
    <row r="2" spans="1:5" ht="71.25" customHeight="1">
      <c r="A2" s="87"/>
      <c r="B2" s="166" t="str">
        <f ca="1">OFFSET(L!$C$1,MATCH("Definitions"&amp;ADDRESS(ROW(),COLUMN(),4),L!$A:$A,0)-1,SL,,)</f>
        <v>ITEM</v>
      </c>
      <c r="C2" s="166" t="str">
        <f ca="1">OFFSET(L!$C$1,MATCH("Definitions"&amp;ADDRESS(ROW(),COLUMN(),4),L!$A:$A,0)-1,SL,,)</f>
        <v>DEFINITION</v>
      </c>
      <c r="D2" s="387"/>
      <c r="E2" s="127"/>
    </row>
    <row r="3" spans="1:5" ht="63.95" customHeight="1">
      <c r="A3" s="87"/>
      <c r="B3" s="74" t="str">
        <f ca="1">OFFSET(L!$C$1,MATCH("Definitions"&amp;ADDRESS(ROW(),COLUMN(),4),L!$A:$A,0)-1,SL,,)</f>
        <v>3TG</v>
      </c>
      <c r="C3" s="74" t="str">
        <f ca="1">OFFSET(L!$C$1,MATCH("Definitions"&amp;ADDRESS(ROW(),COLUMN(),4),L!$A:$A,0)-1,SL,,)</f>
        <v>Tantalum, tin, tungsten, gold</v>
      </c>
      <c r="D3" s="387"/>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7"/>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7"/>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7"/>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7"/>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7"/>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7"/>
      <c r="E9" s="128" t="s">
        <v>1313</v>
      </c>
    </row>
    <row r="10" spans="1:5" ht="45">
      <c r="A10" s="87"/>
      <c r="B10" s="74" t="str">
        <f ca="1">OFFSET(L!$C$1,MATCH("Definitions"&amp;ADDRESS(ROW(),COLUMN(),4),L!$A:$A,0)-1,SL,,)</f>
        <v>DRC</v>
      </c>
      <c r="C10" s="74" t="str">
        <f ca="1">OFFSET(L!$C$1,MATCH("Definitions"&amp;ADDRESS(ROW(),COLUMN(),4),L!$A:$A,0)-1,SL,,)</f>
        <v>Democratic Republic of Congo</v>
      </c>
      <c r="D10" s="387"/>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7"/>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7"/>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7"/>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7"/>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7"/>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7"/>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7"/>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7"/>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7"/>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7"/>
      <c r="E20" s="128"/>
    </row>
    <row r="21" spans="1:5" ht="15">
      <c r="A21" s="87"/>
      <c r="B21" s="74" t="str">
        <f ca="1">OFFSET(L!$C$1,MATCH("Definitions"&amp;ADDRESS(ROW(),COLUMN(),4),L!$A:$A,0)-1,SL,,)</f>
        <v>RBA</v>
      </c>
      <c r="C21" s="74" t="str">
        <f ca="1">OFFSET(L!$C$1,MATCH("Definitions"&amp;ADDRESS(ROW(),COLUMN(),4),L!$A:$A,0)-1,SL,,)</f>
        <v>Responsible Business Alliance (www.responsiblebusiness.org)</v>
      </c>
      <c r="D21" s="387"/>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7"/>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7"/>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7"/>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7"/>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7"/>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7"/>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7"/>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7"/>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7"/>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7"/>
      <c r="E31" s="128"/>
    </row>
    <row r="32" spans="1:5" ht="15">
      <c r="A32" s="87"/>
      <c r="B32" s="386" t="str">
        <f ca="1">OFFSET(L!$C$1,MATCH("General"&amp;"Cpy",L!$A:$A,0)-1,SL,,)</f>
        <v>© 2021 Responsible Minerals Initiative. All rights reserved.</v>
      </c>
      <c r="C32" s="386"/>
      <c r="D32" s="387"/>
      <c r="E32" s="128"/>
    </row>
    <row r="33" spans="1:4" ht="13.5" thickBot="1">
      <c r="A33" s="88"/>
      <c r="B33" s="183"/>
      <c r="C33" s="183"/>
      <c r="D33" s="388"/>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115" zoomScaleNormal="115" zoomScalePageLayoutView="70" workbookViewId="0">
      <selection activeCell="D10" sqref="D10:J1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20"/>
      <c r="B1" s="421"/>
      <c r="C1" s="421"/>
      <c r="D1" s="421"/>
      <c r="E1" s="421"/>
      <c r="F1" s="421"/>
      <c r="G1" s="421"/>
      <c r="H1" s="421"/>
      <c r="I1" s="421"/>
      <c r="J1" s="421"/>
      <c r="K1" s="422"/>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23" t="str">
        <f ca="1">OFFSET(L!$C$1,MATCH("Declaration"&amp;ADDRESS(ROW(),COLUMN(),4),L!$A:$A,0)-1,SL,,)</f>
        <v>Conflict Minerals Reporting Template (CMRT)</v>
      </c>
      <c r="E2" s="424"/>
      <c r="F2" s="424"/>
      <c r="G2" s="424"/>
      <c r="H2" s="424"/>
      <c r="I2" s="424"/>
      <c r="J2" s="425"/>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33"/>
      <c r="G3" s="433"/>
      <c r="H3" s="433"/>
      <c r="I3" s="182"/>
      <c r="J3" s="167" t="s">
        <v>15318</v>
      </c>
      <c r="K3" s="47"/>
      <c r="L3" s="139"/>
      <c r="M3" s="130"/>
      <c r="N3" s="130"/>
      <c r="O3" s="131"/>
      <c r="P3" s="144">
        <f>MATCH($D$3,LN,0)</f>
        <v>1</v>
      </c>
    </row>
    <row r="4" spans="1:34" ht="15.75">
      <c r="A4" s="45"/>
      <c r="B4" s="429" t="str">
        <f ca="1">OFFSET(L!$C$1,MATCH("Declaration"&amp;ADDRESS(ROW(),COLUMN(),4),L!$A:$A,0)-1,SL,,)</f>
        <v>The purpose of this document is to collect sourcing information on tin, tantalum, tungsten and gold used in products</v>
      </c>
      <c r="C4" s="429"/>
      <c r="D4" s="429"/>
      <c r="E4" s="429"/>
      <c r="F4" s="429"/>
      <c r="G4" s="429"/>
      <c r="H4" s="429"/>
      <c r="I4" s="434" t="str">
        <f ca="1">OFFSET(L!$C$1,MATCH("Declaration"&amp;ADDRESS(ROW(),COLUMN(),4),L!$A:$A,0)-1,SL,,)</f>
        <v>Link to Terms &amp; Conditions</v>
      </c>
      <c r="J4" s="434"/>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9" t="str">
        <f ca="1">OFFSET(L!$C$1,MATCH("Declaration"&amp;ADDRESS(ROW(),COLUMN(),4),L!$A:$A,0)-1,SL,,)</f>
        <v>Mandatory fields are noted with an asterisk (*).  Consult the instructions tab for guidance on how to answer each question.</v>
      </c>
      <c r="C6" s="429"/>
      <c r="D6" s="429"/>
      <c r="E6" s="429"/>
      <c r="F6" s="429"/>
      <c r="G6" s="429"/>
      <c r="H6" s="429"/>
      <c r="I6" s="429"/>
      <c r="J6" s="429"/>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38" t="str">
        <f ca="1">OFFSET(L!$C$1,MATCH("Declaration"&amp;ADDRESS(ROW(),COLUMN(),4),L!$A:$A,0)-1,SL,,)</f>
        <v>Company Information</v>
      </c>
      <c r="C7" s="438"/>
      <c r="D7" s="438"/>
      <c r="E7" s="438"/>
      <c r="F7" s="438"/>
      <c r="G7" s="438"/>
      <c r="H7" s="438"/>
      <c r="I7" s="438"/>
      <c r="J7" s="438"/>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26" t="s">
        <v>15606</v>
      </c>
      <c r="E8" s="427"/>
      <c r="F8" s="427"/>
      <c r="G8" s="427"/>
      <c r="H8" s="427"/>
      <c r="I8" s="427"/>
      <c r="J8" s="428"/>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35" t="s">
        <v>494</v>
      </c>
      <c r="E9" s="436"/>
      <c r="F9" s="436"/>
      <c r="G9" s="437"/>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39" t="str">
        <f ca="1">OFFSET(L!$C$1,MATCH("Declaration"&amp;ADDRESS(ROW(),COLUMN(),4)&amp;LEFT($D$9,1),L!$A:$A,0)-1,SL,,)</f>
        <v>Description of Scope:</v>
      </c>
      <c r="C10" s="151"/>
      <c r="D10" s="430" t="s">
        <v>15607</v>
      </c>
      <c r="E10" s="431"/>
      <c r="F10" s="431"/>
      <c r="G10" s="431"/>
      <c r="H10" s="431"/>
      <c r="I10" s="431"/>
      <c r="J10" s="432"/>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40"/>
      <c r="C11" s="151"/>
      <c r="D11" s="404" t="str">
        <f ca="1">IF(D9=Q9,OFFSET(L!$C$1,MATCH("Declaration"&amp;ADDRESS(ROW(),COLUMN(),4),L!$A:$A,0)-1,SL,,),"")</f>
        <v/>
      </c>
      <c r="E11" s="405"/>
      <c r="F11" s="405"/>
      <c r="G11" s="405"/>
      <c r="H11" s="405"/>
      <c r="I11" s="405"/>
      <c r="J11" s="406"/>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13"/>
      <c r="E12" s="414"/>
      <c r="F12" s="414"/>
      <c r="G12" s="414"/>
      <c r="H12" s="414"/>
      <c r="I12" s="414"/>
      <c r="J12" s="415"/>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13"/>
      <c r="E13" s="414"/>
      <c r="F13" s="414"/>
      <c r="G13" s="414"/>
      <c r="H13" s="414"/>
      <c r="I13" s="414"/>
      <c r="J13" s="415"/>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13"/>
      <c r="E14" s="414"/>
      <c r="F14" s="414"/>
      <c r="G14" s="414"/>
      <c r="H14" s="414"/>
      <c r="I14" s="414"/>
      <c r="J14" s="415"/>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13" t="s">
        <v>15608</v>
      </c>
      <c r="E15" s="414"/>
      <c r="F15" s="414"/>
      <c r="G15" s="414"/>
      <c r="H15" s="414"/>
      <c r="I15" s="414"/>
      <c r="J15" s="415"/>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41" t="s">
        <v>15609</v>
      </c>
      <c r="E16" s="442"/>
      <c r="F16" s="442"/>
      <c r="G16" s="442"/>
      <c r="H16" s="442"/>
      <c r="I16" s="442"/>
      <c r="J16" s="443"/>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13" t="s">
        <v>15610</v>
      </c>
      <c r="E17" s="414"/>
      <c r="F17" s="414"/>
      <c r="G17" s="414"/>
      <c r="H17" s="414"/>
      <c r="I17" s="414"/>
      <c r="J17" s="415"/>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13" t="s">
        <v>15608</v>
      </c>
      <c r="E18" s="414"/>
      <c r="F18" s="414"/>
      <c r="G18" s="414"/>
      <c r="H18" s="414"/>
      <c r="I18" s="414"/>
      <c r="J18" s="415"/>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13" t="s">
        <v>15611</v>
      </c>
      <c r="E19" s="414"/>
      <c r="F19" s="414"/>
      <c r="G19" s="414"/>
      <c r="H19" s="414"/>
      <c r="I19" s="414"/>
      <c r="J19" s="415"/>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41" t="s">
        <v>15609</v>
      </c>
      <c r="E20" s="442"/>
      <c r="F20" s="442"/>
      <c r="G20" s="442"/>
      <c r="H20" s="442"/>
      <c r="I20" s="442"/>
      <c r="J20" s="443"/>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13" t="s">
        <v>15610</v>
      </c>
      <c r="E21" s="414"/>
      <c r="F21" s="414"/>
      <c r="G21" s="414"/>
      <c r="H21" s="414"/>
      <c r="I21" s="414"/>
      <c r="J21" s="415"/>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44">
        <v>44526</v>
      </c>
      <c r="E22" s="445"/>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6"/>
      <c r="E23" s="416"/>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6" t="str">
        <f ca="1">OFFSET(L!$C$1,MATCH("Declaration"&amp;ADDRESS(ROW(),COLUMN(),4),L!$A:$A,0)-1,SL,,)</f>
        <v>Answer the following questions 1 - 8 based on the declaration scope indicated above</v>
      </c>
      <c r="C24" s="446"/>
      <c r="D24" s="446"/>
      <c r="E24" s="446"/>
      <c r="F24" s="446"/>
      <c r="G24" s="446"/>
      <c r="H24" s="446"/>
      <c r="I24" s="446"/>
      <c r="J24" s="446"/>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03" t="str">
        <f ca="1">OFFSET(L!$C$1,MATCH("Declaration"&amp;ADDRESS(ROW(),COLUMN(),4),L!$A:$A,0)-1,SL,,)</f>
        <v>Answer</v>
      </c>
      <c r="E25" s="403"/>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89" t="s">
        <v>488</v>
      </c>
      <c r="E26" s="390"/>
      <c r="F26" s="15"/>
      <c r="G26" s="391" t="s">
        <v>15612</v>
      </c>
      <c r="H26" s="392"/>
      <c r="I26" s="392"/>
      <c r="J26" s="393"/>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9" t="s">
        <v>488</v>
      </c>
      <c r="E27" s="390"/>
      <c r="F27" s="15"/>
      <c r="G27" s="391" t="s">
        <v>15613</v>
      </c>
      <c r="H27" s="392"/>
      <c r="I27" s="392"/>
      <c r="J27" s="393"/>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9" t="s">
        <v>488</v>
      </c>
      <c r="E28" s="390"/>
      <c r="F28" s="15"/>
      <c r="G28" s="391" t="s">
        <v>15614</v>
      </c>
      <c r="H28" s="392"/>
      <c r="I28" s="392"/>
      <c r="J28" s="393"/>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89" t="s">
        <v>488</v>
      </c>
      <c r="E29" s="390"/>
      <c r="F29" s="15"/>
      <c r="G29" s="391" t="s">
        <v>15615</v>
      </c>
      <c r="H29" s="392"/>
      <c r="I29" s="392"/>
      <c r="J29" s="393"/>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9" t="str">
        <f ca="1">D25</f>
        <v>Answer</v>
      </c>
      <c r="E31" s="409"/>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407" t="s">
        <v>488</v>
      </c>
      <c r="E32" s="408"/>
      <c r="F32" s="58"/>
      <c r="G32" s="391"/>
      <c r="H32" s="392"/>
      <c r="I32" s="392"/>
      <c r="J32" s="393"/>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9" t="s">
        <v>488</v>
      </c>
      <c r="E33" s="390"/>
      <c r="F33" s="58"/>
      <c r="G33" s="391"/>
      <c r="H33" s="392"/>
      <c r="I33" s="392"/>
      <c r="J33" s="393"/>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9" t="s">
        <v>488</v>
      </c>
      <c r="E34" s="390"/>
      <c r="F34" s="58"/>
      <c r="G34" s="391"/>
      <c r="H34" s="392"/>
      <c r="I34" s="392"/>
      <c r="J34" s="393"/>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89" t="s">
        <v>488</v>
      </c>
      <c r="E35" s="390"/>
      <c r="F35" s="58"/>
      <c r="G35" s="391"/>
      <c r="H35" s="392"/>
      <c r="I35" s="392"/>
      <c r="J35" s="393"/>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9" t="str">
        <f ca="1">D25</f>
        <v>Answer</v>
      </c>
      <c r="E37" s="409"/>
      <c r="F37" s="21"/>
      <c r="G37" s="55" t="str">
        <f ca="1">G25</f>
        <v>Comments</v>
      </c>
      <c r="H37" s="412"/>
      <c r="I37" s="412"/>
      <c r="J37" s="412"/>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89" t="s">
        <v>489</v>
      </c>
      <c r="E38" s="390"/>
      <c r="F38" s="58"/>
      <c r="G38" s="391"/>
      <c r="H38" s="392"/>
      <c r="I38" s="392"/>
      <c r="J38" s="393"/>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9" t="s">
        <v>490</v>
      </c>
      <c r="E39" s="390"/>
      <c r="F39" s="58"/>
      <c r="G39" s="391" t="s">
        <v>15616</v>
      </c>
      <c r="H39" s="392"/>
      <c r="I39" s="392"/>
      <c r="J39" s="393"/>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9" t="s">
        <v>490</v>
      </c>
      <c r="E40" s="390"/>
      <c r="F40" s="58"/>
      <c r="G40" s="391" t="s">
        <v>15616</v>
      </c>
      <c r="H40" s="392"/>
      <c r="I40" s="392"/>
      <c r="J40" s="393"/>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89" t="s">
        <v>490</v>
      </c>
      <c r="E41" s="390"/>
      <c r="F41" s="58"/>
      <c r="G41" s="391" t="s">
        <v>15616</v>
      </c>
      <c r="H41" s="392"/>
      <c r="I41" s="392"/>
      <c r="J41" s="393"/>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9" t="str">
        <f ca="1">D25</f>
        <v>Answer</v>
      </c>
      <c r="E43" s="409"/>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89" t="s">
        <v>489</v>
      </c>
      <c r="E44" s="390"/>
      <c r="F44" s="58"/>
      <c r="G44" s="391"/>
      <c r="H44" s="392"/>
      <c r="I44" s="392"/>
      <c r="J44" s="393"/>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9" t="s">
        <v>490</v>
      </c>
      <c r="E45" s="390"/>
      <c r="F45" s="58"/>
      <c r="G45" s="391" t="s">
        <v>15616</v>
      </c>
      <c r="H45" s="392"/>
      <c r="I45" s="392"/>
      <c r="J45" s="393"/>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9" t="s">
        <v>490</v>
      </c>
      <c r="E46" s="390"/>
      <c r="F46" s="58"/>
      <c r="G46" s="391" t="s">
        <v>15616</v>
      </c>
      <c r="H46" s="392"/>
      <c r="I46" s="392"/>
      <c r="J46" s="393"/>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89" t="s">
        <v>490</v>
      </c>
      <c r="E47" s="390"/>
      <c r="F47" s="58"/>
      <c r="G47" s="391" t="s">
        <v>15616</v>
      </c>
      <c r="H47" s="392"/>
      <c r="I47" s="392"/>
      <c r="J47" s="393"/>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9" t="str">
        <f ca="1">D25</f>
        <v>Answer</v>
      </c>
      <c r="E49" s="409"/>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89" t="s">
        <v>489</v>
      </c>
      <c r="E50" s="390"/>
      <c r="F50" s="58"/>
      <c r="G50" s="391"/>
      <c r="H50" s="392"/>
      <c r="I50" s="392"/>
      <c r="J50" s="393"/>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9" t="s">
        <v>489</v>
      </c>
      <c r="E51" s="390"/>
      <c r="F51" s="58"/>
      <c r="G51" s="391"/>
      <c r="H51" s="392"/>
      <c r="I51" s="392"/>
      <c r="J51" s="393"/>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9" t="s">
        <v>489</v>
      </c>
      <c r="E52" s="390"/>
      <c r="F52" s="58"/>
      <c r="G52" s="391"/>
      <c r="H52" s="392"/>
      <c r="I52" s="392"/>
      <c r="J52" s="393"/>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89" t="s">
        <v>489</v>
      </c>
      <c r="E53" s="390"/>
      <c r="F53" s="58"/>
      <c r="G53" s="391"/>
      <c r="H53" s="392"/>
      <c r="I53" s="392"/>
      <c r="J53" s="393"/>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409" t="str">
        <f ca="1">D25</f>
        <v>Answer</v>
      </c>
      <c r="E55" s="409"/>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410">
        <v>1</v>
      </c>
      <c r="E56" s="411"/>
      <c r="F56" s="58"/>
      <c r="G56" s="391"/>
      <c r="H56" s="392"/>
      <c r="I56" s="392"/>
      <c r="J56" s="393"/>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10" t="s">
        <v>2511</v>
      </c>
      <c r="E57" s="411"/>
      <c r="F57" s="58"/>
      <c r="G57" s="391"/>
      <c r="H57" s="392"/>
      <c r="I57" s="392"/>
      <c r="J57" s="393"/>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10" t="s">
        <v>2511</v>
      </c>
      <c r="E58" s="411"/>
      <c r="F58" s="58"/>
      <c r="G58" s="391"/>
      <c r="H58" s="392"/>
      <c r="I58" s="392"/>
      <c r="J58" s="393"/>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410" t="s">
        <v>2511</v>
      </c>
      <c r="E59" s="411"/>
      <c r="F59" s="58"/>
      <c r="G59" s="391"/>
      <c r="H59" s="392"/>
      <c r="I59" s="392"/>
      <c r="J59" s="393"/>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409" t="str">
        <f ca="1">D25</f>
        <v>Answer</v>
      </c>
      <c r="E61" s="409"/>
      <c r="F61" s="21"/>
      <c r="G61" s="55" t="str">
        <f ca="1">G25</f>
        <v>Comments</v>
      </c>
      <c r="H61" s="402"/>
      <c r="I61" s="402"/>
      <c r="J61" s="402"/>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407" t="s">
        <v>488</v>
      </c>
      <c r="E62" s="408"/>
      <c r="F62" s="58"/>
      <c r="G62" s="391"/>
      <c r="H62" s="392"/>
      <c r="I62" s="392"/>
      <c r="J62" s="393"/>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9" t="s">
        <v>489</v>
      </c>
      <c r="E63" s="390"/>
      <c r="F63" s="58"/>
      <c r="G63" s="391"/>
      <c r="H63" s="392"/>
      <c r="I63" s="392"/>
      <c r="J63" s="393"/>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9" t="s">
        <v>489</v>
      </c>
      <c r="E64" s="390"/>
      <c r="F64" s="58"/>
      <c r="G64" s="391"/>
      <c r="H64" s="392"/>
      <c r="I64" s="392"/>
      <c r="J64" s="393"/>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89" t="s">
        <v>489</v>
      </c>
      <c r="E65" s="390"/>
      <c r="F65" s="58"/>
      <c r="G65" s="391"/>
      <c r="H65" s="392"/>
      <c r="I65" s="392"/>
      <c r="J65" s="393"/>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9" t="str">
        <f ca="1">D25</f>
        <v>Answer</v>
      </c>
      <c r="E67" s="409"/>
      <c r="F67" s="21"/>
      <c r="G67" s="55" t="str">
        <f ca="1">G25</f>
        <v>Comments</v>
      </c>
      <c r="H67" s="402" t="str">
        <f>IF(Q75="(*)","Click here to enter smelter names","")</f>
        <v/>
      </c>
      <c r="I67" s="402"/>
      <c r="J67" s="402"/>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89" t="s">
        <v>488</v>
      </c>
      <c r="E68" s="390"/>
      <c r="F68" s="59"/>
      <c r="G68" s="391"/>
      <c r="H68" s="392"/>
      <c r="I68" s="392"/>
      <c r="J68" s="393"/>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9" t="s">
        <v>488</v>
      </c>
      <c r="E69" s="390"/>
      <c r="F69" s="59"/>
      <c r="G69" s="391"/>
      <c r="H69" s="392"/>
      <c r="I69" s="392"/>
      <c r="J69" s="393"/>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9" t="s">
        <v>488</v>
      </c>
      <c r="E70" s="390"/>
      <c r="F70" s="59"/>
      <c r="G70" s="391"/>
      <c r="H70" s="392"/>
      <c r="I70" s="392"/>
      <c r="J70" s="393"/>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89" t="s">
        <v>488</v>
      </c>
      <c r="E71" s="390"/>
      <c r="F71" s="61"/>
      <c r="G71" s="391"/>
      <c r="H71" s="392"/>
      <c r="I71" s="392"/>
      <c r="J71" s="393"/>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94" t="str">
        <f ca="1">OFFSET(L!$C$1,MATCH("Declaration"&amp;ADDRESS(ROW(),COLUMN(),4),L!$A:$A,0)-1,SL,,)</f>
        <v>Answer the Following Questions at a Company Level</v>
      </c>
      <c r="C73" s="394"/>
      <c r="D73" s="394"/>
      <c r="E73" s="394"/>
      <c r="F73" s="394"/>
      <c r="G73" s="394"/>
      <c r="H73" s="394"/>
      <c r="I73" s="394"/>
      <c r="J73" s="394"/>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03" t="str">
        <f ca="1">D25</f>
        <v>Answer</v>
      </c>
      <c r="E74" s="403"/>
      <c r="F74" s="64"/>
      <c r="G74" s="403" t="str">
        <f ca="1">G25</f>
        <v>Comments</v>
      </c>
      <c r="H74" s="403" t="e">
        <f>HLOOKUP(SL,LT,$O74,0)</f>
        <v>#NAME?</v>
      </c>
      <c r="I74" s="403"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9" t="s">
        <v>488</v>
      </c>
      <c r="E75" s="390"/>
      <c r="F75" s="68"/>
      <c r="G75" s="391" t="s">
        <v>15617</v>
      </c>
      <c r="H75" s="392"/>
      <c r="I75" s="392"/>
      <c r="J75" s="393"/>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00"/>
      <c r="H76" s="400"/>
      <c r="I76" s="400"/>
      <c r="J76" s="400"/>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9" t="s">
        <v>488</v>
      </c>
      <c r="E77" s="390"/>
      <c r="F77" s="68"/>
      <c r="G77" s="417" t="s">
        <v>15618</v>
      </c>
      <c r="H77" s="418"/>
      <c r="I77" s="418"/>
      <c r="J77" s="419"/>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9" t="s">
        <v>488</v>
      </c>
      <c r="E79" s="390"/>
      <c r="F79" s="68"/>
      <c r="G79" s="391"/>
      <c r="H79" s="392"/>
      <c r="I79" s="392"/>
      <c r="J79" s="393"/>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9" t="s">
        <v>489</v>
      </c>
      <c r="E81" s="390"/>
      <c r="F81" s="68"/>
      <c r="G81" s="391"/>
      <c r="H81" s="392"/>
      <c r="I81" s="392"/>
      <c r="J81" s="393"/>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9" t="s">
        <v>12606</v>
      </c>
      <c r="E83" s="390"/>
      <c r="F83" s="68"/>
      <c r="G83" s="391" t="s">
        <v>15619</v>
      </c>
      <c r="H83" s="392"/>
      <c r="I83" s="392"/>
      <c r="J83" s="393"/>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8" t="s">
        <v>488</v>
      </c>
      <c r="E85" s="399"/>
      <c r="F85" s="68"/>
      <c r="G85" s="391"/>
      <c r="H85" s="392"/>
      <c r="I85" s="392"/>
      <c r="J85" s="393"/>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00"/>
      <c r="H86" s="400"/>
      <c r="I86" s="400"/>
      <c r="J86" s="400"/>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9" t="s">
        <v>488</v>
      </c>
      <c r="E87" s="390"/>
      <c r="F87" s="68"/>
      <c r="G87" s="391"/>
      <c r="H87" s="392"/>
      <c r="I87" s="392"/>
      <c r="J87" s="393"/>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01"/>
      <c r="H88" s="401"/>
      <c r="I88" s="401"/>
      <c r="J88" s="401"/>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9" t="s">
        <v>489</v>
      </c>
      <c r="E89" s="390"/>
      <c r="F89" s="68"/>
      <c r="G89" s="391"/>
      <c r="H89" s="392"/>
      <c r="I89" s="392"/>
      <c r="J89" s="393"/>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7" t="str">
        <f>IF(OR($D$8="",$I$3=""),"","Click here to check required fields completion")</f>
        <v/>
      </c>
      <c r="C90" s="397"/>
      <c r="D90" s="397"/>
      <c r="E90" s="397"/>
      <c r="F90" s="397"/>
      <c r="G90" s="397"/>
      <c r="H90" s="397"/>
      <c r="I90" s="397"/>
      <c r="J90" s="397"/>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95" t="str">
        <f ca="1">OFFSET(L!$C$1,MATCH("General"&amp;"Cpy",L!$A:$A,0)-1,SL,,)</f>
        <v>© 2021 Responsible Minerals Initiative. All rights reserved.</v>
      </c>
      <c r="B91" s="396"/>
      <c r="C91" s="396"/>
      <c r="D91" s="396"/>
      <c r="E91" s="396"/>
      <c r="F91" s="396"/>
      <c r="G91" s="396"/>
      <c r="H91" s="396"/>
      <c r="I91" s="396"/>
      <c r="J91" s="396"/>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6" priority="69" stopIfTrue="1">
      <formula>AND(OR($D$26="No",AND($D$26="Yes",$D$32="No")),OR($D$27="No",AND($D$27="Yes",$D$33="No")),OR($D$28="No",AND($D$28="Yes",$D$34="No")),OR($D$29="No",AND($D$29="Yes",$D$35="No")))</formula>
    </cfRule>
    <cfRule type="expression" dxfId="105" priority="70" stopIfTrue="1">
      <formula>IF(D75="",TRUE)</formula>
    </cfRule>
  </conditionalFormatting>
  <conditionalFormatting sqref="G77:J77">
    <cfRule type="expression" dxfId="104" priority="41" stopIfTrue="1">
      <formula>IF(AND($D$77="Yes",$G$77=""),TRUE)</formula>
    </cfRule>
  </conditionalFormatting>
  <conditionalFormatting sqref="D26:E26">
    <cfRule type="expression" dxfId="103" priority="121" stopIfTrue="1">
      <formula>IF($D$26="",TRUE)</formula>
    </cfRule>
  </conditionalFormatting>
  <conditionalFormatting sqref="D27:E27">
    <cfRule type="expression" dxfId="102" priority="128" stopIfTrue="1">
      <formula>IF($D$27="",TRUE)</formula>
    </cfRule>
  </conditionalFormatting>
  <conditionalFormatting sqref="D28:E28">
    <cfRule type="expression" dxfId="101" priority="129" stopIfTrue="1">
      <formula>IF($D$28="",TRUE)</formula>
    </cfRule>
  </conditionalFormatting>
  <conditionalFormatting sqref="D29:E29">
    <cfRule type="expression" dxfId="100" priority="130" stopIfTrue="1">
      <formula>IF($D$29="",TRUE)</formula>
    </cfRule>
  </conditionalFormatting>
  <conditionalFormatting sqref="D8:J8">
    <cfRule type="expression" dxfId="99" priority="135" stopIfTrue="1">
      <formula>IF($D$8="",TRUE)</formula>
    </cfRule>
  </conditionalFormatting>
  <conditionalFormatting sqref="D9:G9">
    <cfRule type="expression" dxfId="98" priority="136" stopIfTrue="1">
      <formula>IF($D$9="",TRUE)</formula>
    </cfRule>
  </conditionalFormatting>
  <conditionalFormatting sqref="D22:E22">
    <cfRule type="expression" dxfId="97" priority="143" stopIfTrue="1">
      <formula>IF($D$22="",TRUE)</formula>
    </cfRule>
  </conditionalFormatting>
  <conditionalFormatting sqref="D10:J10">
    <cfRule type="expression" dxfId="96" priority="40" stopIfTrue="1">
      <formula>IF($D$9=$Q$9,TRUE)</formula>
    </cfRule>
    <cfRule type="expression" dxfId="95" priority="150" stopIfTrue="1">
      <formula>IF(AND($D$10="",$D$9=$R$9),TRUE)</formula>
    </cfRule>
  </conditionalFormatting>
  <conditionalFormatting sqref="D34:E34 D40:E40 D52:E52 D58:E58 D64:E64 D70:E70">
    <cfRule type="expression" dxfId="94" priority="33" stopIfTrue="1">
      <formula>$P$28=""</formula>
    </cfRule>
  </conditionalFormatting>
  <conditionalFormatting sqref="D35:E35 D41:E41 D53:E53 D59:E59 D65:E65 D71:E71">
    <cfRule type="expression" dxfId="93" priority="148" stopIfTrue="1">
      <formula>$P$29=""</formula>
    </cfRule>
  </conditionalFormatting>
  <conditionalFormatting sqref="D32:E32">
    <cfRule type="expression" dxfId="92" priority="126" stopIfTrue="1">
      <formula>$P$26=""</formula>
    </cfRule>
  </conditionalFormatting>
  <conditionalFormatting sqref="D32:E32">
    <cfRule type="expression" dxfId="91" priority="39" stopIfTrue="1">
      <formula>IF(AND(OR($D$26="Yes",$D$26=""),$D$32=""),1,0)</formula>
    </cfRule>
  </conditionalFormatting>
  <conditionalFormatting sqref="D38 D50 D56 D62 D68">
    <cfRule type="expression" dxfId="90" priority="35" stopIfTrue="1">
      <formula>$P$32=""</formula>
    </cfRule>
  </conditionalFormatting>
  <conditionalFormatting sqref="D39:E39 D51 D57 D63 D69">
    <cfRule type="expression" dxfId="89" priority="34" stopIfTrue="1">
      <formula>$P$33=""</formula>
    </cfRule>
  </conditionalFormatting>
  <conditionalFormatting sqref="D40 D52 D58 D64 D70">
    <cfRule type="expression" dxfId="88" priority="24" stopIfTrue="1">
      <formula>$P$34=""</formula>
    </cfRule>
    <cfRule type="expression" dxfId="87" priority="146" stopIfTrue="1">
      <formula>IF(AND(OR($D$28="Yes",$D$28=""),D40=""),1,0)</formula>
    </cfRule>
  </conditionalFormatting>
  <conditionalFormatting sqref="D41 D53 D59 D65 D71">
    <cfRule type="expression" dxfId="86" priority="32" stopIfTrue="1">
      <formula>$P$35=""</formula>
    </cfRule>
  </conditionalFormatting>
  <conditionalFormatting sqref="D38:E38 D50:E50 D56:E56 D62:E62 D68:E68">
    <cfRule type="expression" dxfId="85" priority="37" stopIfTrue="1">
      <formula>$P$26=""</formula>
    </cfRule>
    <cfRule type="expression" dxfId="84" priority="38" stopIfTrue="1">
      <formula>IF(AND(OR($D$26="Yes",$D$26=""),D38=""),1,0)</formula>
    </cfRule>
  </conditionalFormatting>
  <conditionalFormatting sqref="G85:J85">
    <cfRule type="expression" dxfId="83" priority="31" stopIfTrue="1">
      <formula>IF(AND($D$85="Yes, using other format (describe)",$G$85=""),TRUE)</formula>
    </cfRule>
  </conditionalFormatting>
  <conditionalFormatting sqref="D39:E39 D51:E51 D57:E57 D63:E63 D69:E69">
    <cfRule type="expression" dxfId="82" priority="144" stopIfTrue="1">
      <formula>$P$39=""</formula>
    </cfRule>
    <cfRule type="expression" dxfId="81" priority="145" stopIfTrue="1">
      <formula>IF(AND(OR($D$27="Yes",$D$27=""),D39=""),1,0)</formula>
    </cfRule>
  </conditionalFormatting>
  <conditionalFormatting sqref="D33:E33">
    <cfRule type="expression" dxfId="80" priority="26" stopIfTrue="1">
      <formula>IF(AND(OR($D$27="Yes",$D$27=""),$D$33=""),1,0)</formula>
    </cfRule>
    <cfRule type="expression" dxfId="79" priority="27" stopIfTrue="1">
      <formula>$P$27=""</formula>
    </cfRule>
  </conditionalFormatting>
  <conditionalFormatting sqref="D34:E34">
    <cfRule type="expression" dxfId="78" priority="147" stopIfTrue="1">
      <formula>IF(AND(OR($D$28="Yes",$D$28=""),$D$34=""),1,0)</formula>
    </cfRule>
  </conditionalFormatting>
  <conditionalFormatting sqref="D41:E41 D53:E53 D59:E59 D65:E65 D71:E71">
    <cfRule type="expression" dxfId="77" priority="149" stopIfTrue="1">
      <formula>IF(AND(OR($D$29="Yes",$D$29=""),D41=""),1,0)</formula>
    </cfRule>
  </conditionalFormatting>
  <conditionalFormatting sqref="D35:E35">
    <cfRule type="expression" dxfId="76" priority="23" stopIfTrue="1">
      <formula>IF(AND(OR($D$29="Yes",$D$29=""),$D$35=""),1,0)</formula>
    </cfRule>
  </conditionalFormatting>
  <conditionalFormatting sqref="D46:E46">
    <cfRule type="expression" dxfId="75" priority="9" stopIfTrue="1">
      <formula>$P$28=""</formula>
    </cfRule>
  </conditionalFormatting>
  <conditionalFormatting sqref="D47:E47">
    <cfRule type="expression" dxfId="74" priority="17" stopIfTrue="1">
      <formula>$P$29=""</formula>
    </cfRule>
  </conditionalFormatting>
  <conditionalFormatting sqref="D44">
    <cfRule type="expression" dxfId="73" priority="11" stopIfTrue="1">
      <formula>$P$32=""</formula>
    </cfRule>
  </conditionalFormatting>
  <conditionalFormatting sqref="D45">
    <cfRule type="expression" dxfId="72" priority="10" stopIfTrue="1">
      <formula>$P$33=""</formula>
    </cfRule>
  </conditionalFormatting>
  <conditionalFormatting sqref="D46">
    <cfRule type="expression" dxfId="71" priority="7" stopIfTrue="1">
      <formula>$P$34=""</formula>
    </cfRule>
    <cfRule type="expression" dxfId="70" priority="16" stopIfTrue="1">
      <formula>IF(AND(OR($D$28="Yes",$D$28=""),D46=""),1,0)</formula>
    </cfRule>
  </conditionalFormatting>
  <conditionalFormatting sqref="D47">
    <cfRule type="expression" dxfId="69" priority="8" stopIfTrue="1">
      <formula>$P$35=""</formula>
    </cfRule>
  </conditionalFormatting>
  <conditionalFormatting sqref="D44:E44">
    <cfRule type="expression" dxfId="68" priority="12" stopIfTrue="1">
      <formula>$P$26=""</formula>
    </cfRule>
    <cfRule type="expression" dxfId="67" priority="13" stopIfTrue="1">
      <formula>IF(AND(OR($D$26="Yes",$D$26=""),D44=""),1,0)</formula>
    </cfRule>
  </conditionalFormatting>
  <conditionalFormatting sqref="D45:E45">
    <cfRule type="expression" dxfId="66" priority="14" stopIfTrue="1">
      <formula>$P$39=""</formula>
    </cfRule>
    <cfRule type="expression" dxfId="65" priority="15" stopIfTrue="1">
      <formula>IF(AND(OR($D$27="Yes",$D$27=""),D45=""),1,0)</formula>
    </cfRule>
  </conditionalFormatting>
  <conditionalFormatting sqref="D47:E47">
    <cfRule type="expression" dxfId="64" priority="18" stopIfTrue="1">
      <formula>IF(AND(OR($D$29="Yes",$D$29=""),D47=""),1,0)</formula>
    </cfRule>
  </conditionalFormatting>
  <conditionalFormatting sqref="D15:J15">
    <cfRule type="expression" dxfId="63" priority="3" stopIfTrue="1">
      <formula>IF($D$15="",TRUE)</formula>
    </cfRule>
  </conditionalFormatting>
  <conditionalFormatting sqref="D16:J16">
    <cfRule type="expression" dxfId="62" priority="4" stopIfTrue="1">
      <formula>IF($D$16="",TRUE)</formula>
    </cfRule>
  </conditionalFormatting>
  <conditionalFormatting sqref="D17:J17">
    <cfRule type="expression" dxfId="61" priority="5" stopIfTrue="1">
      <formula>IF($D$17="",TRUE)</formula>
    </cfRule>
  </conditionalFormatting>
  <conditionalFormatting sqref="D18:J18">
    <cfRule type="expression" dxfId="60" priority="6" stopIfTrue="1">
      <formula>IF($D$18="",TRUE)</formula>
    </cfRule>
  </conditionalFormatting>
  <conditionalFormatting sqref="D20:J20">
    <cfRule type="expression" dxfId="59" priority="2" stopIfTrue="1">
      <formula>IF($D$16="",TRUE)</formula>
    </cfRule>
  </conditionalFormatting>
  <conditionalFormatting sqref="D21:J21">
    <cfRule type="expression" dxfId="58" priority="1" stopIfTrue="1">
      <formula>IF($D$17="",TRUE)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7D89574-8922-4083-AC45-7EDA8724A4B5}"/>
    <hyperlink ref="D20" r:id="rId4" xr:uid="{13CB01C8-A4C2-4E75-ADF2-E6EE8F2CB912}"/>
    <hyperlink ref="G77" r:id="rId5" xr:uid="{5ED9BCC5-AF18-4D0C-9ECE-EFEA67E13C6C}"/>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opLeftCell="K1" zoomScaleNormal="100" zoomScalePageLayoutView="55" workbookViewId="0">
      <pane ySplit="4" topLeftCell="A5" activePane="bottomLeft" state="frozen"/>
      <selection pane="bottomLeft" activeCell="C116" sqref="C116"/>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7" t="str">
        <f ca="1">OFFSET(L!$C$1,MATCH("Smelter List"&amp;ADDRESS(ROW(),COLUMN(),4),L!$A:$A,0)-1,SL,,)</f>
        <v>Link to "RMAP Conformant Smelter List"</v>
      </c>
      <c r="K2" s="448"/>
      <c r="L2" s="448"/>
      <c r="M2" s="448"/>
      <c r="N2" s="448"/>
      <c r="O2" s="448"/>
      <c r="P2" s="231"/>
      <c r="Q2" s="232"/>
      <c r="R2" s="233"/>
      <c r="S2" s="233"/>
      <c r="T2" s="233"/>
      <c r="U2" s="262"/>
      <c r="V2" s="262"/>
      <c r="W2" s="263"/>
      <c r="X2" s="262"/>
      <c r="Y2" s="262"/>
      <c r="Z2" s="262"/>
      <c r="AH2" s="174" t="s">
        <v>488</v>
      </c>
    </row>
    <row r="3" spans="1:34" s="264" customFormat="1" ht="126" customHeight="1">
      <c r="A3" s="202"/>
      <c r="B3" s="44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9"/>
      <c r="D3" s="449"/>
      <c r="E3" s="449"/>
      <c r="F3" s="265"/>
      <c r="G3" s="450" t="str">
        <f ca="1">OFFSET(L!$C$1,MATCH("General"&amp;"Cpy",L!$A:$A,0)-1,SL,,)</f>
        <v>© 2021 Responsible Minerals Initiative. All rights reserved.</v>
      </c>
      <c r="H3" s="450"/>
      <c r="I3" s="451"/>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c r="B5" s="215" t="s">
        <v>1132</v>
      </c>
      <c r="C5" s="219" t="s">
        <v>2</v>
      </c>
      <c r="D5" s="278"/>
      <c r="E5" s="215" t="str">
        <f ca="1">IF(ISERROR($V5),"",OFFSET('Smelter Look-up'!$D$4,$V5-4,0)&amp;"")</f>
        <v>CHINA</v>
      </c>
      <c r="F5" s="215" t="str">
        <f ca="1">IF(ISERROR($V5),"",OFFSET('Smelter Look-up'!$E$4,$V5-4,0))</f>
        <v>CID000211</v>
      </c>
      <c r="G5" s="215" t="str">
        <f ca="1">IF(C5=$X$4,"Enter smelter details",IF(ISERROR($V5),"",OFFSET('Smelter Look-up'!$F$4,$V5-4,0)))</f>
        <v>RMI</v>
      </c>
      <c r="H5" s="216">
        <f ca="1">IF(ISERROR($V5),"",OFFSET('Smelter Look-up'!$G$4,$V5-4,0))</f>
        <v>0</v>
      </c>
      <c r="I5" s="217" t="str">
        <f ca="1">IF(ISERROR($V5),"",OFFSET('Smelter Look-up'!$H$4,$V5-4,0))</f>
        <v>Changsha</v>
      </c>
      <c r="J5" s="217" t="str">
        <f ca="1">IF(ISERROR($V5),"",OFFSET('Smelter Look-up'!$I$4,$V5-4,0))</f>
        <v>Hunan Sheng</v>
      </c>
      <c r="K5" s="268"/>
      <c r="L5" s="268"/>
      <c r="M5" s="268"/>
      <c r="N5" s="268"/>
      <c r="O5" s="268"/>
      <c r="P5" s="218"/>
      <c r="Q5" s="354" t="s">
        <v>15620</v>
      </c>
      <c r="R5" s="215" t="str">
        <f ca="1">IF(ISERROR($V5),"",OFFSET('Smelter Look-up'!$C$4,$V5-4,0)&amp;"")</f>
        <v>Changsha South Tantalum Niobium Co., Ltd.</v>
      </c>
      <c r="S5" s="222" t="str">
        <f t="shared" ref="S5" ca="1" si="0">IF(B5="","",IF(ISERROR(MATCH($E5,CL,0)),"Unknown",INDIRECT("'C'!$A$"&amp;MATCH($E5,CL,0)+1)))</f>
        <v>CN</v>
      </c>
      <c r="T5" s="222" t="str">
        <f ca="1">IF(B5="","",IF(ISERROR(MATCH($J5,SorP!$B$1:$B$6230,0)),"",INDIRECT("'SorP'!$A$"&amp;MATCH($J5,SorP!$B$1:$B$6230,0))))</f>
        <v>CN-HN</v>
      </c>
      <c r="U5" s="238"/>
      <c r="V5" s="270">
        <f>IF(C5="",NA(),MATCH($B5&amp;$C5,'Smelter Look-up'!$J:$J,0))</f>
        <v>316</v>
      </c>
      <c r="W5" s="271"/>
      <c r="X5" s="271">
        <f t="shared" ref="X5" ca="1" si="1">IF(AND(C5="Smelter not listed",OR(LEN(D5)=0,LEN(E5)=0)),1,0)</f>
        <v>0</v>
      </c>
      <c r="Y5" s="271"/>
      <c r="Z5" s="271"/>
      <c r="AB5" s="273" t="str">
        <f t="shared" ref="AB5" si="2">B5&amp;C5</f>
        <v>TantalumChangsha South Tantalum Niobium Co., Ltd.</v>
      </c>
    </row>
    <row r="6" spans="1:34" s="272" customFormat="1" ht="20.100000000000001" customHeight="1">
      <c r="A6" s="324"/>
      <c r="B6" s="215" t="s">
        <v>1132</v>
      </c>
      <c r="C6" s="219" t="s">
        <v>1726</v>
      </c>
      <c r="D6" s="278"/>
      <c r="E6" s="215" t="str">
        <f ca="1">IF(ISERROR($V6),"",OFFSET('Smelter Look-up'!$D$4,$V6-4,0)&amp;"")</f>
        <v>CHINA</v>
      </c>
      <c r="F6" s="215" t="str">
        <f ca="1">IF(ISERROR($V6),"",OFFSET('Smelter Look-up'!$E$4,$V6-4,0))</f>
        <v>CID000211</v>
      </c>
      <c r="G6" s="215" t="str">
        <f ca="1">IF(C6=$X$4,"Enter smelter details",IF(ISERROR($V6),"",OFFSET('Smelter Look-up'!$F$4,$V6-4,0)))</f>
        <v>RMI</v>
      </c>
      <c r="H6" s="216">
        <f ca="1">IF(ISERROR($V6),"",OFFSET('Smelter Look-up'!$G$4,$V6-4,0))</f>
        <v>0</v>
      </c>
      <c r="I6" s="217" t="str">
        <f ca="1">IF(ISERROR($V6),"",OFFSET('Smelter Look-up'!$H$4,$V6-4,0))</f>
        <v>Changsha</v>
      </c>
      <c r="J6" s="217" t="str">
        <f ca="1">IF(ISERROR($V6),"",OFFSET('Smelter Look-up'!$I$4,$V6-4,0))</f>
        <v>Hunan Sheng</v>
      </c>
      <c r="K6" s="268"/>
      <c r="L6" s="268"/>
      <c r="M6" s="268"/>
      <c r="N6" s="268"/>
      <c r="O6" s="268"/>
      <c r="P6" s="218"/>
      <c r="Q6" s="354" t="s">
        <v>15620</v>
      </c>
      <c r="R6" s="215" t="str">
        <f ca="1">IF(ISERROR($V6),"",OFFSET('Smelter Look-up'!$C$4,$V6-4,0)&amp;"")</f>
        <v>Changsha South Tantalum Niobium Co., Ltd.</v>
      </c>
      <c r="S6" s="222" t="str">
        <f t="shared" ref="S6:S37" ca="1" si="3">IF(B6="","",IF(ISERROR(MATCH($E6,CL,0)),"Unknown",INDIRECT("'C'!$A$"&amp;MATCH($E6,CL,0)+1)))</f>
        <v>CN</v>
      </c>
      <c r="T6" s="222" t="str">
        <f ca="1">IF(B6="","",IF(ISERROR(MATCH($J6,SorP!$B$1:$B$6230,0)),"",INDIRECT("'SorP'!$A$"&amp;MATCH($J6,SorP!$B$1:$B$6230,0))))</f>
        <v>CN-HN</v>
      </c>
      <c r="U6" s="238"/>
      <c r="V6" s="270">
        <f>IF(C6="",NA(),MATCH($B6&amp;$C6,'Smelter Look-up'!$J:$J,0))</f>
        <v>317</v>
      </c>
      <c r="W6" s="271"/>
      <c r="X6" s="271">
        <f t="shared" ref="X6:X37" ca="1" si="4">IF(AND(C6="Smelter not listed",OR(LEN(D6)=0,LEN(E6)=0)),1,0)</f>
        <v>0</v>
      </c>
      <c r="Y6" s="271"/>
      <c r="Z6" s="271"/>
      <c r="AB6" s="273" t="str">
        <f t="shared" ref="AB6:AB37" si="5">B6&amp;C6</f>
        <v>TantalumChangsha Southern</v>
      </c>
    </row>
    <row r="7" spans="1:34" s="272" customFormat="1" ht="20.100000000000001" customHeight="1">
      <c r="A7" s="324"/>
      <c r="B7" s="215" t="s">
        <v>1132</v>
      </c>
      <c r="C7" s="219" t="s">
        <v>1418</v>
      </c>
      <c r="D7" s="278"/>
      <c r="E7" s="215" t="str">
        <f ca="1">IF(ISERROR($V7),"",OFFSET('Smelter Look-up'!$D$4,$V7-4,0)&amp;"")</f>
        <v>GERMANY</v>
      </c>
      <c r="F7" s="215" t="str">
        <f ca="1">IF(ISERROR($V7),"",OFFSET('Smelter Look-up'!$E$4,$V7-4,0))</f>
        <v>CID002547</v>
      </c>
      <c r="G7" s="215" t="str">
        <f ca="1">IF(C7=$X$4,"Enter smelter details",IF(ISERROR($V7),"",OFFSET('Smelter Look-up'!$F$4,$V7-4,0)))</f>
        <v>RMI</v>
      </c>
      <c r="H7" s="216">
        <f ca="1">IF(ISERROR($V7),"",OFFSET('Smelter Look-up'!$G$4,$V7-4,0))</f>
        <v>0</v>
      </c>
      <c r="I7" s="217" t="str">
        <f ca="1">IF(ISERROR($V7),"",OFFSET('Smelter Look-up'!$H$4,$V7-4,0))</f>
        <v>Hermsdorf</v>
      </c>
      <c r="J7" s="217" t="str">
        <f ca="1">IF(ISERROR($V7),"",OFFSET('Smelter Look-up'!$I$4,$V7-4,0))</f>
        <v>Thüringen</v>
      </c>
      <c r="K7" s="268"/>
      <c r="L7" s="268"/>
      <c r="M7" s="268"/>
      <c r="N7" s="268"/>
      <c r="O7" s="268"/>
      <c r="P7" s="218"/>
      <c r="Q7" s="354" t="s">
        <v>15620</v>
      </c>
      <c r="R7" s="215" t="str">
        <f ca="1">IF(ISERROR($V7),"",OFFSET('Smelter Look-up'!$C$4,$V7-4,0)&amp;"")</f>
        <v>H.C. Starck Hermsdorf GmbH</v>
      </c>
      <c r="S7" s="222" t="str">
        <f t="shared" ca="1" si="3"/>
        <v>DE</v>
      </c>
      <c r="T7" s="222" t="str">
        <f ca="1">IF(B7="","",IF(ISERROR(MATCH($J7,SorP!$B$1:$B$6230,0)),"",INDIRECT("'SorP'!$A$"&amp;MATCH($J7,SorP!$B$1:$B$6230,0))))</f>
        <v>DE-TH</v>
      </c>
      <c r="U7" s="238"/>
      <c r="V7" s="270">
        <f>IF(C7="",NA(),MATCH($B7&amp;$C7,'Smelter Look-up'!$J:$J,0))</f>
        <v>327</v>
      </c>
      <c r="W7" s="271"/>
      <c r="X7" s="271">
        <f t="shared" ca="1" si="4"/>
        <v>0</v>
      </c>
      <c r="Y7" s="271"/>
      <c r="Z7" s="271"/>
      <c r="AB7" s="273" t="str">
        <f t="shared" si="5"/>
        <v>TantalumH.C. Starck Hermsdorf GmbH</v>
      </c>
    </row>
    <row r="8" spans="1:34" s="272" customFormat="1" ht="20.100000000000001" customHeight="1">
      <c r="A8" s="324"/>
      <c r="B8" s="215" t="s">
        <v>1132</v>
      </c>
      <c r="C8" s="219" t="s">
        <v>1420</v>
      </c>
      <c r="D8" s="278"/>
      <c r="E8" s="215" t="str">
        <f ca="1">IF(ISERROR($V8),"",OFFSET('Smelter Look-up'!$D$4,$V8-4,0)&amp;"")</f>
        <v>UNITED STATES OF AMERICA</v>
      </c>
      <c r="F8" s="215" t="str">
        <f ca="1">IF(ISERROR($V8),"",OFFSET('Smelter Look-up'!$E$4,$V8-4,0))</f>
        <v>CID002548</v>
      </c>
      <c r="G8" s="215" t="str">
        <f ca="1">IF(C8=$X$4,"Enter smelter details",IF(ISERROR($V8),"",OFFSET('Smelter Look-up'!$F$4,$V8-4,0)))</f>
        <v>RMI</v>
      </c>
      <c r="H8" s="216">
        <f ca="1">IF(ISERROR($V8),"",OFFSET('Smelter Look-up'!$G$4,$V8-4,0))</f>
        <v>0</v>
      </c>
      <c r="I8" s="217" t="str">
        <f ca="1">IF(ISERROR($V8),"",OFFSET('Smelter Look-up'!$H$4,$V8-4,0))</f>
        <v>Newton</v>
      </c>
      <c r="J8" s="217" t="str">
        <f ca="1">IF(ISERROR($V8),"",OFFSET('Smelter Look-up'!$I$4,$V8-4,0))</f>
        <v>Massachusetts</v>
      </c>
      <c r="K8" s="268"/>
      <c r="L8" s="268"/>
      <c r="M8" s="268"/>
      <c r="N8" s="268"/>
      <c r="O8" s="268"/>
      <c r="P8" s="218"/>
      <c r="Q8" s="354" t="s">
        <v>15620</v>
      </c>
      <c r="R8" s="215" t="str">
        <f ca="1">IF(ISERROR($V8),"",OFFSET('Smelter Look-up'!$C$4,$V8-4,0)&amp;"")</f>
        <v>H.C. Starck Inc.</v>
      </c>
      <c r="S8" s="222" t="str">
        <f t="shared" ca="1" si="3"/>
        <v>US</v>
      </c>
      <c r="T8" s="222" t="str">
        <f ca="1">IF(B8="","",IF(ISERROR(MATCH($J8,SorP!$B$1:$B$6230,0)),"",INDIRECT("'SorP'!$A$"&amp;MATCH($J8,SorP!$B$1:$B$6230,0))))</f>
        <v>US-MA</v>
      </c>
      <c r="U8" s="238"/>
      <c r="V8" s="270">
        <f>IF(C8="",NA(),MATCH($B8&amp;$C8,'Smelter Look-up'!$J:$J,0))</f>
        <v>328</v>
      </c>
      <c r="W8" s="271"/>
      <c r="X8" s="271">
        <f t="shared" ca="1" si="4"/>
        <v>0</v>
      </c>
      <c r="Y8" s="271"/>
      <c r="Z8" s="271"/>
      <c r="AB8" s="273" t="str">
        <f t="shared" si="5"/>
        <v>TantalumH.C. Starck Inc.</v>
      </c>
    </row>
    <row r="9" spans="1:34" s="272" customFormat="1" ht="20.100000000000001" customHeight="1">
      <c r="A9" s="324"/>
      <c r="B9" s="215" t="s">
        <v>1132</v>
      </c>
      <c r="C9" s="219" t="s">
        <v>2558</v>
      </c>
      <c r="D9" s="278"/>
      <c r="E9" s="215" t="str">
        <f ca="1">IF(ISERROR($V9),"",OFFSET('Smelter Look-up'!$D$4,$V9-4,0)&amp;"")</f>
        <v>GERMANY</v>
      </c>
      <c r="F9" s="215" t="str">
        <f ca="1">IF(ISERROR($V9),"",OFFSET('Smelter Look-up'!$E$4,$V9-4,0))</f>
        <v>CID002545</v>
      </c>
      <c r="G9" s="215" t="str">
        <f ca="1">IF(C9=$X$4,"Enter smelter details",IF(ISERROR($V9),"",OFFSET('Smelter Look-up'!$F$4,$V9-4,0)))</f>
        <v>RMI</v>
      </c>
      <c r="H9" s="216">
        <f ca="1">IF(ISERROR($V9),"",OFFSET('Smelter Look-up'!$G$4,$V9-4,0))</f>
        <v>0</v>
      </c>
      <c r="I9" s="217" t="str">
        <f ca="1">IF(ISERROR($V9),"",OFFSET('Smelter Look-up'!$H$4,$V9-4,0))</f>
        <v>Goslar</v>
      </c>
      <c r="J9" s="217" t="str">
        <f ca="1">IF(ISERROR($V9),"",OFFSET('Smelter Look-up'!$I$4,$V9-4,0))</f>
        <v>Niedersachsen</v>
      </c>
      <c r="K9" s="268"/>
      <c r="L9" s="268"/>
      <c r="M9" s="268"/>
      <c r="N9" s="268"/>
      <c r="O9" s="268"/>
      <c r="P9" s="218"/>
      <c r="Q9" s="354" t="s">
        <v>15620</v>
      </c>
      <c r="R9" s="215" t="str">
        <f ca="1">IF(ISERROR($V9),"",OFFSET('Smelter Look-up'!$C$4,$V9-4,0)&amp;"")</f>
        <v>TANIOBIS GmbH</v>
      </c>
      <c r="S9" s="222" t="str">
        <f t="shared" ca="1" si="3"/>
        <v>DE</v>
      </c>
      <c r="T9" s="222" t="str">
        <f ca="1">IF(B9="","",IF(ISERROR(MATCH($J9,SorP!$B$1:$B$6230,0)),"",INDIRECT("'SorP'!$A$"&amp;MATCH($J9,SorP!$B$1:$B$6230,0))))</f>
        <v>DE-NI</v>
      </c>
      <c r="U9" s="238"/>
      <c r="V9" s="270">
        <f>IF(C9="",NA(),MATCH($B9&amp;$C9,'Smelter Look-up'!$J:$J,0))</f>
        <v>331</v>
      </c>
      <c r="W9" s="271"/>
      <c r="X9" s="271">
        <f t="shared" ca="1" si="4"/>
        <v>0</v>
      </c>
      <c r="Y9" s="271"/>
      <c r="Z9" s="271"/>
      <c r="AB9" s="273" t="str">
        <f t="shared" si="5"/>
        <v>TantalumH.C. Starck Tantalum and Niobium GmbH</v>
      </c>
    </row>
    <row r="10" spans="1:34" s="272" customFormat="1" ht="20.100000000000001" customHeight="1">
      <c r="A10" s="324"/>
      <c r="B10" s="215" t="s">
        <v>1132</v>
      </c>
      <c r="C10" s="219" t="s">
        <v>13399</v>
      </c>
      <c r="D10" s="278"/>
      <c r="E10" s="215" t="str">
        <f ca="1">IF(ISERROR($V10),"",OFFSET('Smelter Look-up'!$D$4,$V10-4,0)&amp;"")</f>
        <v>CHINA</v>
      </c>
      <c r="F10" s="215" t="str">
        <f ca="1">IF(ISERROR($V10),"",OFFSET('Smelter Look-up'!$E$4,$V10-4,0))</f>
        <v>CID001277</v>
      </c>
      <c r="G10" s="215" t="str">
        <f ca="1">IF(C10=$X$4,"Enter smelter details",IF(ISERROR($V10),"",OFFSET('Smelter Look-up'!$F$4,$V10-4,0)))</f>
        <v>RMI</v>
      </c>
      <c r="H10" s="216">
        <f ca="1">IF(ISERROR($V10),"",OFFSET('Smelter Look-up'!$G$4,$V10-4,0))</f>
        <v>0</v>
      </c>
      <c r="I10" s="217" t="str">
        <f ca="1">IF(ISERROR($V10),"",OFFSET('Smelter Look-up'!$H$4,$V10-4,0))</f>
        <v>Shizuishan City</v>
      </c>
      <c r="J10" s="217" t="str">
        <f ca="1">IF(ISERROR($V10),"",OFFSET('Smelter Look-up'!$I$4,$V10-4,0))</f>
        <v>Ningxia Huizi Zizhiqu</v>
      </c>
      <c r="K10" s="268"/>
      <c r="L10" s="268"/>
      <c r="M10" s="268"/>
      <c r="N10" s="268"/>
      <c r="O10" s="268"/>
      <c r="P10" s="218"/>
      <c r="Q10" s="354" t="s">
        <v>15620</v>
      </c>
      <c r="R10" s="215" t="str">
        <f ca="1">IF(ISERROR($V10),"",OFFSET('Smelter Look-up'!$C$4,$V10-4,0)&amp;"")</f>
        <v>Ningxia Orient Tantalum Industry Co., Ltd.</v>
      </c>
      <c r="S10" s="222" t="str">
        <f t="shared" ca="1" si="3"/>
        <v>CN</v>
      </c>
      <c r="T10" s="222" t="str">
        <f ca="1">IF(B10="","",IF(ISERROR(MATCH($J10,SorP!$B$1:$B$6230,0)),"",INDIRECT("'SorP'!$A$"&amp;MATCH($J10,SorP!$B$1:$B$6230,0))))</f>
        <v>CN-NX</v>
      </c>
      <c r="U10" s="238"/>
      <c r="V10" s="270">
        <f>IF(C10="",NA(),MATCH($B10&amp;$C10,'Smelter Look-up'!$J:$J,0))</f>
        <v>351</v>
      </c>
      <c r="W10" s="271"/>
      <c r="X10" s="271">
        <f t="shared" ca="1" si="4"/>
        <v>0</v>
      </c>
      <c r="Y10" s="271"/>
      <c r="Z10" s="271"/>
      <c r="AB10" s="273" t="str">
        <f t="shared" si="5"/>
        <v>TantalumNingxia Non-Ferrous Metal Smeltery</v>
      </c>
    </row>
    <row r="11" spans="1:34" s="272" customFormat="1" ht="20.100000000000001" customHeight="1">
      <c r="A11" s="324"/>
      <c r="B11" s="215" t="s">
        <v>1132</v>
      </c>
      <c r="C11" s="219" t="s">
        <v>1030</v>
      </c>
      <c r="D11" s="278"/>
      <c r="E11" s="215" t="str">
        <f ca="1">IF(ISERROR($V11),"",OFFSET('Smelter Look-up'!$D$4,$V11-4,0)&amp;"")</f>
        <v>CHINA</v>
      </c>
      <c r="F11" s="215" t="str">
        <f ca="1">IF(ISERROR($V11),"",OFFSET('Smelter Look-up'!$E$4,$V11-4,0))</f>
        <v>CID001277</v>
      </c>
      <c r="G11" s="215" t="str">
        <f ca="1">IF(C11=$X$4,"Enter smelter details",IF(ISERROR($V11),"",OFFSET('Smelter Look-up'!$F$4,$V11-4,0)))</f>
        <v>RMI</v>
      </c>
      <c r="H11" s="216">
        <f ca="1">IF(ISERROR($V11),"",OFFSET('Smelter Look-up'!$G$4,$V11-4,0))</f>
        <v>0</v>
      </c>
      <c r="I11" s="217" t="str">
        <f ca="1">IF(ISERROR($V11),"",OFFSET('Smelter Look-up'!$H$4,$V11-4,0))</f>
        <v>Shizuishan City</v>
      </c>
      <c r="J11" s="217" t="str">
        <f ca="1">IF(ISERROR($V11),"",OFFSET('Smelter Look-up'!$I$4,$V11-4,0))</f>
        <v>Ningxia Huizi Zizhiqu</v>
      </c>
      <c r="K11" s="268"/>
      <c r="L11" s="268"/>
      <c r="M11" s="268"/>
      <c r="N11" s="268"/>
      <c r="O11" s="268"/>
      <c r="P11" s="218"/>
      <c r="Q11" s="354" t="s">
        <v>15620</v>
      </c>
      <c r="R11" s="215" t="str">
        <f ca="1">IF(ISERROR($V11),"",OFFSET('Smelter Look-up'!$C$4,$V11-4,0)&amp;"")</f>
        <v>Ningxia Orient Tantalum Industry Co., Ltd.</v>
      </c>
      <c r="S11" s="222" t="str">
        <f t="shared" ca="1" si="3"/>
        <v>CN</v>
      </c>
      <c r="T11" s="222" t="str">
        <f ca="1">IF(B11="","",IF(ISERROR(MATCH($J11,SorP!$B$1:$B$6230,0)),"",INDIRECT("'SorP'!$A$"&amp;MATCH($J11,SorP!$B$1:$B$6230,0))))</f>
        <v>CN-NX</v>
      </c>
      <c r="U11" s="238"/>
      <c r="V11" s="270">
        <f>IF(C11="",NA(),MATCH($B11&amp;$C11,'Smelter Look-up'!$J:$J,0))</f>
        <v>352</v>
      </c>
      <c r="W11" s="271"/>
      <c r="X11" s="271">
        <f t="shared" ca="1" si="4"/>
        <v>0</v>
      </c>
      <c r="Y11" s="271"/>
      <c r="Z11" s="271"/>
      <c r="AB11" s="273" t="str">
        <f t="shared" si="5"/>
        <v>TantalumNingxia Orient Tantalum Industry Co., Ltd.</v>
      </c>
    </row>
    <row r="12" spans="1:34" s="272" customFormat="1" ht="20.100000000000001" customHeight="1">
      <c r="A12" s="324"/>
      <c r="B12" s="215" t="s">
        <v>1131</v>
      </c>
      <c r="C12" s="219" t="s">
        <v>14026</v>
      </c>
      <c r="D12" s="278"/>
      <c r="E12" s="215" t="str">
        <f ca="1">IF(ISERROR($V12),"",OFFSET('Smelter Look-up'!$D$4,$V12-4,0)&amp;"")</f>
        <v>INDONESIA</v>
      </c>
      <c r="F12" s="215" t="str">
        <f ca="1">IF(ISERROR($V12),"",OFFSET('Smelter Look-up'!$E$4,$V12-4,0))</f>
        <v>CID001477</v>
      </c>
      <c r="G12" s="215" t="str">
        <f ca="1">IF(C12=$X$4,"Enter smelter details",IF(ISERROR($V12),"",OFFSET('Smelter Look-up'!$F$4,$V12-4,0)))</f>
        <v>RMI</v>
      </c>
      <c r="H12" s="216">
        <f ca="1">IF(ISERROR($V12),"",OFFSET('Smelter Look-up'!$G$4,$V12-4,0))</f>
        <v>0</v>
      </c>
      <c r="I12" s="217" t="str">
        <f ca="1">IF(ISERROR($V12),"",OFFSET('Smelter Look-up'!$H$4,$V12-4,0))</f>
        <v>Kundur</v>
      </c>
      <c r="J12" s="217" t="str">
        <f ca="1">IF(ISERROR($V12),"",OFFSET('Smelter Look-up'!$I$4,$V12-4,0))</f>
        <v>Riau</v>
      </c>
      <c r="K12" s="268"/>
      <c r="L12" s="268"/>
      <c r="M12" s="268"/>
      <c r="N12" s="268"/>
      <c r="O12" s="268"/>
      <c r="P12" s="218"/>
      <c r="Q12" s="354" t="s">
        <v>15621</v>
      </c>
      <c r="R12" s="215" t="str">
        <f ca="1">IF(ISERROR($V12),"",OFFSET('Smelter Look-up'!$C$4,$V12-4,0)&amp;"")</f>
        <v>PT Timah Tbk Kundur</v>
      </c>
      <c r="S12" s="222" t="str">
        <f t="shared" ca="1" si="3"/>
        <v>ID</v>
      </c>
      <c r="T12" s="222" t="str">
        <f ca="1">IF(B12="","",IF(ISERROR(MATCH($J12,SorP!$B$1:$B$6230,0)),"",INDIRECT("'SorP'!$A$"&amp;MATCH($J12,SorP!$B$1:$B$6230,0))))</f>
        <v>ID-RI</v>
      </c>
      <c r="U12" s="238"/>
      <c r="V12" s="270">
        <f>IF(C12="",NA(),MATCH($B12&amp;$C12,'Smelter Look-up'!$J:$J,0))</f>
        <v>491</v>
      </c>
      <c r="W12" s="271"/>
      <c r="X12" s="271">
        <f t="shared" ca="1" si="4"/>
        <v>0</v>
      </c>
      <c r="Y12" s="271"/>
      <c r="Z12" s="271"/>
      <c r="AB12" s="273" t="str">
        <f t="shared" si="5"/>
        <v>TinPT Timah Tbk Kundur</v>
      </c>
    </row>
    <row r="13" spans="1:34" s="272" customFormat="1" ht="20.100000000000001" customHeight="1">
      <c r="A13" s="324"/>
      <c r="B13" s="215" t="s">
        <v>1131</v>
      </c>
      <c r="C13" s="219" t="s">
        <v>14025</v>
      </c>
      <c r="D13" s="278"/>
      <c r="E13" s="215" t="str">
        <f ca="1">IF(ISERROR($V13),"",OFFSET('Smelter Look-up'!$D$4,$V13-4,0)&amp;"")</f>
        <v>INDONESIA</v>
      </c>
      <c r="F13" s="215" t="str">
        <f ca="1">IF(ISERROR($V13),"",OFFSET('Smelter Look-up'!$E$4,$V13-4,0))</f>
        <v>CID001482</v>
      </c>
      <c r="G13" s="215" t="str">
        <f ca="1">IF(C13=$X$4,"Enter smelter details",IF(ISERROR($V13),"",OFFSET('Smelter Look-up'!$F$4,$V13-4,0)))</f>
        <v>RMI</v>
      </c>
      <c r="H13" s="216">
        <f ca="1">IF(ISERROR($V13),"",OFFSET('Smelter Look-up'!$G$4,$V13-4,0))</f>
        <v>0</v>
      </c>
      <c r="I13" s="217" t="str">
        <f ca="1">IF(ISERROR($V13),"",OFFSET('Smelter Look-up'!$H$4,$V13-4,0))</f>
        <v>Mentok</v>
      </c>
      <c r="J13" s="217" t="str">
        <f ca="1">IF(ISERROR($V13),"",OFFSET('Smelter Look-up'!$I$4,$V13-4,0))</f>
        <v>Kepulauan Bangka Belitung</v>
      </c>
      <c r="K13" s="268"/>
      <c r="L13" s="268"/>
      <c r="M13" s="268"/>
      <c r="N13" s="268"/>
      <c r="O13" s="268"/>
      <c r="P13" s="218"/>
      <c r="Q13" s="354" t="s">
        <v>15621</v>
      </c>
      <c r="R13" s="215" t="str">
        <f ca="1">IF(ISERROR($V13),"",OFFSET('Smelter Look-up'!$C$4,$V13-4,0)&amp;"")</f>
        <v>PT Timah Tbk Mentok</v>
      </c>
      <c r="S13" s="222" t="str">
        <f t="shared" ca="1" si="3"/>
        <v>ID</v>
      </c>
      <c r="T13" s="222" t="str">
        <f ca="1">IF(B13="","",IF(ISERROR(MATCH($J13,SorP!$B$1:$B$6230,0)),"",INDIRECT("'SorP'!$A$"&amp;MATCH($J13,SorP!$B$1:$B$6230,0))))</f>
        <v>ID-BB</v>
      </c>
      <c r="U13" s="238"/>
      <c r="V13" s="270">
        <f>IF(C13="",NA(),MATCH($B13&amp;$C13,'Smelter Look-up'!$J:$J,0))</f>
        <v>492</v>
      </c>
      <c r="W13" s="271"/>
      <c r="X13" s="271">
        <f t="shared" ca="1" si="4"/>
        <v>0</v>
      </c>
      <c r="Y13" s="271"/>
      <c r="Z13" s="271"/>
      <c r="AB13" s="273" t="str">
        <f t="shared" si="5"/>
        <v>TinPT Timah Tbk Mentok</v>
      </c>
    </row>
    <row r="14" spans="1:34" s="272" customFormat="1" ht="20.100000000000001" customHeight="1">
      <c r="A14" s="324"/>
      <c r="B14" s="215" t="s">
        <v>1131</v>
      </c>
      <c r="C14" s="219" t="s">
        <v>1031</v>
      </c>
      <c r="D14" s="278"/>
      <c r="E14" s="215" t="str">
        <f ca="1">IF(ISERROR($V14),"",OFFSET('Smelter Look-up'!$D$4,$V14-4,0)&amp;"")</f>
        <v>THAILAND</v>
      </c>
      <c r="F14" s="215" t="str">
        <f ca="1">IF(ISERROR($V14),"",OFFSET('Smelter Look-up'!$E$4,$V14-4,0))</f>
        <v>CID001898</v>
      </c>
      <c r="G14" s="215" t="str">
        <f ca="1">IF(C14=$X$4,"Enter smelter details",IF(ISERROR($V14),"",OFFSET('Smelter Look-up'!$F$4,$V14-4,0)))</f>
        <v>RMI</v>
      </c>
      <c r="H14" s="216">
        <f ca="1">IF(ISERROR($V14),"",OFFSET('Smelter Look-up'!$G$4,$V14-4,0))</f>
        <v>0</v>
      </c>
      <c r="I14" s="217" t="str">
        <f ca="1">IF(ISERROR($V14),"",OFFSET('Smelter Look-up'!$H$4,$V14-4,0))</f>
        <v>Amphur Muang</v>
      </c>
      <c r="J14" s="217" t="str">
        <f ca="1">IF(ISERROR($V14),"",OFFSET('Smelter Look-up'!$I$4,$V14-4,0))</f>
        <v>Phuket</v>
      </c>
      <c r="K14" s="268"/>
      <c r="L14" s="268"/>
      <c r="M14" s="268"/>
      <c r="N14" s="268"/>
      <c r="O14" s="268"/>
      <c r="P14" s="218"/>
      <c r="Q14" s="354" t="s">
        <v>15621</v>
      </c>
      <c r="R14" s="215" t="str">
        <f ca="1">IF(ISERROR($V14),"",OFFSET('Smelter Look-up'!$C$4,$V14-4,0)&amp;"")</f>
        <v>Thaisarco</v>
      </c>
      <c r="S14" s="222" t="str">
        <f t="shared" ca="1" si="3"/>
        <v>TH</v>
      </c>
      <c r="T14" s="222" t="str">
        <f ca="1">IF(B14="","",IF(ISERROR(MATCH($J14,SorP!$B$1:$B$6230,0)),"",INDIRECT("'SorP'!$A$"&amp;MATCH($J14,SorP!$B$1:$B$6230,0))))</f>
        <v>TH-83</v>
      </c>
      <c r="U14" s="238"/>
      <c r="V14" s="270">
        <f>IF(C14="",NA(),MATCH($B14&amp;$C14,'Smelter Look-up'!$J:$J,0))</f>
        <v>504</v>
      </c>
      <c r="W14" s="271"/>
      <c r="X14" s="271">
        <f t="shared" ca="1" si="4"/>
        <v>0</v>
      </c>
      <c r="Y14" s="271"/>
      <c r="Z14" s="271"/>
      <c r="AB14" s="273" t="str">
        <f t="shared" si="5"/>
        <v>TinThaisarco</v>
      </c>
    </row>
    <row r="15" spans="1:34" s="272" customFormat="1" ht="20.100000000000001" customHeight="1">
      <c r="A15" s="324"/>
      <c r="B15" s="215" t="s">
        <v>1130</v>
      </c>
      <c r="C15" s="219" t="s">
        <v>2174</v>
      </c>
      <c r="D15" s="278"/>
      <c r="E15" s="215" t="str">
        <f ca="1">IF(ISERROR($V15),"",OFFSET('Smelter Look-up'!$D$4,$V15-4,0)&amp;"")</f>
        <v>SOUTH AFRICA</v>
      </c>
      <c r="F15" s="215" t="str">
        <f ca="1">IF(ISERROR($V15),"",OFFSET('Smelter Look-up'!$E$4,$V15-4,0))</f>
        <v>CID001512</v>
      </c>
      <c r="G15" s="215" t="str">
        <f ca="1">IF(C15=$X$4,"Enter smelter details",IF(ISERROR($V15),"",OFFSET('Smelter Look-up'!$F$4,$V15-4,0)))</f>
        <v>RMI</v>
      </c>
      <c r="H15" s="216">
        <f ca="1">IF(ISERROR($V15),"",OFFSET('Smelter Look-up'!$G$4,$V15-4,0))</f>
        <v>0</v>
      </c>
      <c r="I15" s="217" t="str">
        <f ca="1">IF(ISERROR($V15),"",OFFSET('Smelter Look-up'!$H$4,$V15-4,0))</f>
        <v>Germiston</v>
      </c>
      <c r="J15" s="217" t="str">
        <f ca="1">IF(ISERROR($V15),"",OFFSET('Smelter Look-up'!$I$4,$V15-4,0))</f>
        <v>Gauteng</v>
      </c>
      <c r="K15" s="268"/>
      <c r="L15" s="268"/>
      <c r="M15" s="268"/>
      <c r="N15" s="268"/>
      <c r="O15" s="268"/>
      <c r="P15" s="218"/>
      <c r="Q15" s="354" t="s">
        <v>15621</v>
      </c>
      <c r="R15" s="215" t="str">
        <f ca="1">IF(ISERROR($V15),"",OFFSET('Smelter Look-up'!$C$4,$V15-4,0)&amp;"")</f>
        <v>Rand Refinery (Pty) Ltd.</v>
      </c>
      <c r="S15" s="222" t="str">
        <f t="shared" ca="1" si="3"/>
        <v>ZA</v>
      </c>
      <c r="T15" s="222" t="str">
        <f ca="1">IF(B15="","",IF(ISERROR(MATCH($J15,SorP!$B$1:$B$6230,0)),"",INDIRECT("'SorP'!$A$"&amp;MATCH($J15,SorP!$B$1:$B$6230,0))))</f>
        <v>ZA-GT</v>
      </c>
      <c r="U15" s="238"/>
      <c r="V15" s="270">
        <f>IF(C15="",NA(),MATCH($B15&amp;$C15,'Smelter Look-up'!$J:$J,0))</f>
        <v>210</v>
      </c>
      <c r="W15" s="271"/>
      <c r="X15" s="271">
        <f t="shared" ca="1" si="4"/>
        <v>0</v>
      </c>
      <c r="Y15" s="271"/>
      <c r="Z15" s="271"/>
      <c r="AB15" s="273" t="str">
        <f t="shared" si="5"/>
        <v>GoldRand Refinery (Pty) Ltd.</v>
      </c>
    </row>
    <row r="16" spans="1:34" s="272" customFormat="1" ht="20.100000000000001" customHeight="1">
      <c r="A16" s="324"/>
      <c r="B16" s="215" t="s">
        <v>1130</v>
      </c>
      <c r="C16" s="219" t="s">
        <v>2309</v>
      </c>
      <c r="D16" s="278"/>
      <c r="E16" s="215" t="str">
        <f ca="1">IF(ISERROR($V16),"",OFFSET('Smelter Look-up'!$D$4,$V16-4,0)&amp;"")</f>
        <v>SWITZERLAND</v>
      </c>
      <c r="F16" s="215" t="str">
        <f ca="1">IF(ISERROR($V16),"",OFFSET('Smelter Look-up'!$E$4,$V16-4,0))</f>
        <v>CID000077</v>
      </c>
      <c r="G16" s="215" t="str">
        <f ca="1">IF(C16=$X$4,"Enter smelter details",IF(ISERROR($V16),"",OFFSET('Smelter Look-up'!$F$4,$V16-4,0)))</f>
        <v>RMI</v>
      </c>
      <c r="H16" s="216">
        <f ca="1">IF(ISERROR($V16),"",OFFSET('Smelter Look-up'!$G$4,$V16-4,0))</f>
        <v>0</v>
      </c>
      <c r="I16" s="217" t="str">
        <f ca="1">IF(ISERROR($V16),"",OFFSET('Smelter Look-up'!$H$4,$V16-4,0))</f>
        <v>Mendrisio</v>
      </c>
      <c r="J16" s="217" t="str">
        <f ca="1">IF(ISERROR($V16),"",OFFSET('Smelter Look-up'!$I$4,$V16-4,0))</f>
        <v>Ticino</v>
      </c>
      <c r="K16" s="268"/>
      <c r="L16" s="268"/>
      <c r="M16" s="268"/>
      <c r="N16" s="268"/>
      <c r="O16" s="268"/>
      <c r="P16" s="218"/>
      <c r="Q16" s="354" t="s">
        <v>15621</v>
      </c>
      <c r="R16" s="215" t="str">
        <f ca="1">IF(ISERROR($V16),"",OFFSET('Smelter Look-up'!$C$4,$V16-4,0)&amp;"")</f>
        <v>Argor-Heraeus S.A.</v>
      </c>
      <c r="S16" s="222" t="str">
        <f t="shared" ca="1" si="3"/>
        <v>CH</v>
      </c>
      <c r="T16" s="222" t="str">
        <f ca="1">IF(B16="","",IF(ISERROR(MATCH($J16,SorP!$B$1:$B$6230,0)),"",INDIRECT("'SorP'!$A$"&amp;MATCH($J16,SorP!$B$1:$B$6230,0))))</f>
        <v>CH-TI</v>
      </c>
      <c r="U16" s="238"/>
      <c r="V16" s="270">
        <f>IF(C16="",NA(),MATCH($B16&amp;$C16,'Smelter Look-up'!$J:$J,0))</f>
        <v>25</v>
      </c>
      <c r="W16" s="271"/>
      <c r="X16" s="271">
        <f t="shared" ca="1" si="4"/>
        <v>0</v>
      </c>
      <c r="Y16" s="271"/>
      <c r="Z16" s="271"/>
      <c r="AB16" s="273" t="str">
        <f t="shared" si="5"/>
        <v>GoldArgor-Heraeus S.A.</v>
      </c>
    </row>
    <row r="17" spans="1:28" s="272" customFormat="1" ht="20.100000000000001" customHeight="1">
      <c r="A17" s="324"/>
      <c r="B17" s="215" t="s">
        <v>1130</v>
      </c>
      <c r="C17" s="219" t="s">
        <v>2331</v>
      </c>
      <c r="D17" s="278"/>
      <c r="E17" s="215" t="str">
        <f ca="1">IF(ISERROR($V17),"",OFFSET('Smelter Look-up'!$D$4,$V17-4,0)&amp;"")</f>
        <v>SWITZERLAND</v>
      </c>
      <c r="F17" s="215" t="str">
        <f ca="1">IF(ISERROR($V17),"",OFFSET('Smelter Look-up'!$E$4,$V17-4,0))</f>
        <v>CID001153</v>
      </c>
      <c r="G17" s="215" t="str">
        <f ca="1">IF(C17=$X$4,"Enter smelter details",IF(ISERROR($V17),"",OFFSET('Smelter Look-up'!$F$4,$V17-4,0)))</f>
        <v>RMI</v>
      </c>
      <c r="H17" s="216">
        <f ca="1">IF(ISERROR($V17),"",OFFSET('Smelter Look-up'!$G$4,$V17-4,0))</f>
        <v>0</v>
      </c>
      <c r="I17" s="217" t="str">
        <f ca="1">IF(ISERROR($V17),"",OFFSET('Smelter Look-up'!$H$4,$V17-4,0))</f>
        <v>Marin</v>
      </c>
      <c r="J17" s="217" t="str">
        <f ca="1">IF(ISERROR($V17),"",OFFSET('Smelter Look-up'!$I$4,$V17-4,0))</f>
        <v>Neuchâtel</v>
      </c>
      <c r="K17" s="268"/>
      <c r="L17" s="268"/>
      <c r="M17" s="268"/>
      <c r="N17" s="268"/>
      <c r="O17" s="268"/>
      <c r="P17" s="218"/>
      <c r="Q17" s="354" t="s">
        <v>15621</v>
      </c>
      <c r="R17" s="215" t="str">
        <f ca="1">IF(ISERROR($V17),"",OFFSET('Smelter Look-up'!$C$4,$V17-4,0)&amp;"")</f>
        <v>Metalor Technologies S.A.</v>
      </c>
      <c r="S17" s="222" t="str">
        <f t="shared" ca="1" si="3"/>
        <v>CH</v>
      </c>
      <c r="T17" s="222" t="str">
        <f ca="1">IF(B17="","",IF(ISERROR(MATCH($J17,SorP!$B$1:$B$6230,0)),"",INDIRECT("'SorP'!$A$"&amp;MATCH($J17,SorP!$B$1:$B$6230,0))))</f>
        <v>CH-NE</v>
      </c>
      <c r="U17" s="238"/>
      <c r="V17" s="270">
        <f>IF(C17="",NA(),MATCH($B17&amp;$C17,'Smelter Look-up'!$J:$J,0))</f>
        <v>171</v>
      </c>
      <c r="W17" s="271"/>
      <c r="X17" s="271">
        <f t="shared" ca="1" si="4"/>
        <v>0</v>
      </c>
      <c r="Y17" s="271"/>
      <c r="Z17" s="271"/>
      <c r="AB17" s="273" t="str">
        <f t="shared" si="5"/>
        <v>GoldMetalor Technologies S.A.</v>
      </c>
    </row>
    <row r="18" spans="1:28" s="272" customFormat="1" ht="20.100000000000001" customHeight="1">
      <c r="A18" s="214"/>
      <c r="B18" s="215" t="s">
        <v>1130</v>
      </c>
      <c r="C18" s="219" t="s">
        <v>2339</v>
      </c>
      <c r="D18" s="278"/>
      <c r="E18" s="215" t="str">
        <f ca="1">IF(ISERROR($V18),"",OFFSET('Smelter Look-up'!$D$4,$V18-4,0)&amp;"")</f>
        <v>SWITZERLAND</v>
      </c>
      <c r="F18" s="215" t="str">
        <f ca="1">IF(ISERROR($V18),"",OFFSET('Smelter Look-up'!$E$4,$V18-4,0))</f>
        <v>CID001352</v>
      </c>
      <c r="G18" s="215" t="str">
        <f ca="1">IF(C18=$X$4,"Enter smelter details",IF(ISERROR($V18),"",OFFSET('Smelter Look-up'!$F$4,$V18-4,0)))</f>
        <v>RMI</v>
      </c>
      <c r="H18" s="216">
        <f ca="1">IF(ISERROR($V18),"",OFFSET('Smelter Look-up'!$G$4,$V18-4,0))</f>
        <v>0</v>
      </c>
      <c r="I18" s="217" t="str">
        <f ca="1">IF(ISERROR($V18),"",OFFSET('Smelter Look-up'!$H$4,$V18-4,0))</f>
        <v>Castel San Pietro</v>
      </c>
      <c r="J18" s="217" t="str">
        <f ca="1">IF(ISERROR($V18),"",OFFSET('Smelter Look-up'!$I$4,$V18-4,0))</f>
        <v>Ticino</v>
      </c>
      <c r="K18" s="268"/>
      <c r="L18" s="268"/>
      <c r="M18" s="268"/>
      <c r="N18" s="268"/>
      <c r="O18" s="268"/>
      <c r="P18" s="218"/>
      <c r="Q18" s="354" t="s">
        <v>15621</v>
      </c>
      <c r="R18" s="215" t="str">
        <f ca="1">IF(ISERROR($V18),"",OFFSET('Smelter Look-up'!$C$4,$V18-4,0)&amp;"")</f>
        <v>PAMP S.A.</v>
      </c>
      <c r="S18" s="222" t="str">
        <f t="shared" ca="1" si="3"/>
        <v>CH</v>
      </c>
      <c r="T18" s="222" t="str">
        <f ca="1">IF(B18="","",IF(ISERROR(MATCH($J18,SorP!$B$1:$B$6230,0)),"",INDIRECT("'SorP'!$A$"&amp;MATCH($J18,SorP!$B$1:$B$6230,0))))</f>
        <v>CH-TI</v>
      </c>
      <c r="U18" s="238"/>
      <c r="V18" s="270">
        <f>IF(C18="",NA(),MATCH($B18&amp;$C18,'Smelter Look-up'!$J:$J,0))</f>
        <v>197</v>
      </c>
      <c r="W18" s="271"/>
      <c r="X18" s="271">
        <f t="shared" ca="1" si="4"/>
        <v>0</v>
      </c>
      <c r="Y18" s="271"/>
      <c r="Z18" s="271"/>
      <c r="AB18" s="273" t="str">
        <f t="shared" si="5"/>
        <v>GoldPAMP S.A.</v>
      </c>
    </row>
    <row r="19" spans="1:28" s="272" customFormat="1" ht="38.25">
      <c r="A19" s="214"/>
      <c r="B19" s="215" t="s">
        <v>1130</v>
      </c>
      <c r="C19" s="219" t="s">
        <v>2360</v>
      </c>
      <c r="D19" s="278"/>
      <c r="E19" s="215" t="str">
        <f ca="1">IF(ISERROR($V19),"",OFFSET('Smelter Look-up'!$D$4,$V19-4,0)&amp;"")</f>
        <v>SWITZERLAND</v>
      </c>
      <c r="F19" s="215" t="str">
        <f ca="1">IF(ISERROR($V19),"",OFFSET('Smelter Look-up'!$E$4,$V19-4,0))</f>
        <v>CID002003</v>
      </c>
      <c r="G19" s="215" t="str">
        <f ca="1">IF(C19=$X$4,"Enter smelter details",IF(ISERROR($V19),"",OFFSET('Smelter Look-up'!$F$4,$V19-4,0)))</f>
        <v>RMI</v>
      </c>
      <c r="H19" s="216">
        <f ca="1">IF(ISERROR($V19),"",OFFSET('Smelter Look-up'!$G$4,$V19-4,0))</f>
        <v>0</v>
      </c>
      <c r="I19" s="217" t="str">
        <f ca="1">IF(ISERROR($V19),"",OFFSET('Smelter Look-up'!$H$4,$V19-4,0))</f>
        <v>Balerna</v>
      </c>
      <c r="J19" s="217" t="str">
        <f ca="1">IF(ISERROR($V19),"",OFFSET('Smelter Look-up'!$I$4,$V19-4,0))</f>
        <v>Ticino</v>
      </c>
      <c r="K19" s="268"/>
      <c r="L19" s="268"/>
      <c r="M19" s="268"/>
      <c r="N19" s="268"/>
      <c r="O19" s="268"/>
      <c r="P19" s="218"/>
      <c r="Q19" s="354" t="s">
        <v>15621</v>
      </c>
      <c r="R19" s="215" t="str">
        <f ca="1">IF(ISERROR($V19),"",OFFSET('Smelter Look-up'!$C$4,$V19-4,0)&amp;"")</f>
        <v>Valcambi S.A.</v>
      </c>
      <c r="S19" s="222" t="str">
        <f t="shared" ca="1" si="3"/>
        <v>CH</v>
      </c>
      <c r="T19" s="222" t="str">
        <f ca="1">IF(B19="","",IF(ISERROR(MATCH($J19,SorP!$B$1:$B$6230,0)),"",INDIRECT("'SorP'!$A$"&amp;MATCH($J19,SorP!$B$1:$B$6230,0))))</f>
        <v>CH-TI</v>
      </c>
      <c r="U19" s="238"/>
      <c r="V19" s="270">
        <f>IF(C19="",NA(),MATCH($B19&amp;$C19,'Smelter Look-up'!$J:$J,0))</f>
        <v>288</v>
      </c>
      <c r="W19" s="271"/>
      <c r="X19" s="271">
        <f t="shared" ca="1" si="4"/>
        <v>0</v>
      </c>
      <c r="Y19" s="271"/>
      <c r="Z19" s="271"/>
      <c r="AB19" s="273" t="str">
        <f t="shared" si="5"/>
        <v>GoldValcambi S.A.</v>
      </c>
    </row>
    <row r="20" spans="1:28" s="272" customFormat="1" ht="114.75">
      <c r="A20" s="214"/>
      <c r="B20" s="215" t="s">
        <v>1130</v>
      </c>
      <c r="C20" s="219" t="s">
        <v>1325</v>
      </c>
      <c r="D20" s="278"/>
      <c r="E20" s="215" t="str">
        <f ca="1">IF(ISERROR($V20),"",OFFSET('Smelter Look-up'!$D$4,$V20-4,0)&amp;"")</f>
        <v>CHINA</v>
      </c>
      <c r="F20" s="215" t="str">
        <f ca="1">IF(ISERROR($V20),"",OFFSET('Smelter Look-up'!$E$4,$V20-4,0))</f>
        <v>CID002224</v>
      </c>
      <c r="G20" s="215" t="str">
        <f ca="1">IF(C20=$X$4,"Enter smelter details",IF(ISERROR($V20),"",OFFSET('Smelter Look-up'!$F$4,$V20-4,0)))</f>
        <v>RMI</v>
      </c>
      <c r="H20" s="216">
        <f ca="1">IF(ISERROR($V20),"",OFFSET('Smelter Look-up'!$G$4,$V20-4,0))</f>
        <v>0</v>
      </c>
      <c r="I20" s="217" t="str">
        <f ca="1">IF(ISERROR($V20),"",OFFSET('Smelter Look-up'!$H$4,$V20-4,0))</f>
        <v>Sanmenxia</v>
      </c>
      <c r="J20" s="217" t="str">
        <f ca="1">IF(ISERROR($V20),"",OFFSET('Smelter Look-up'!$I$4,$V20-4,0))</f>
        <v>Henan Sheng</v>
      </c>
      <c r="K20" s="268"/>
      <c r="L20" s="268"/>
      <c r="M20" s="268"/>
      <c r="N20" s="268"/>
      <c r="O20" s="268"/>
      <c r="P20" s="218"/>
      <c r="Q20" s="354" t="s">
        <v>15621</v>
      </c>
      <c r="R20" s="215" t="str">
        <f ca="1">IF(ISERROR($V20),"",OFFSET('Smelter Look-up'!$C$4,$V20-4,0)&amp;"")</f>
        <v>Zhongyuan Gold Smelter of Zhongjin Gold Corporation</v>
      </c>
      <c r="S20" s="222" t="str">
        <f t="shared" ca="1" si="3"/>
        <v>CN</v>
      </c>
      <c r="T20" s="222" t="str">
        <f ca="1">IF(B20="","",IF(ISERROR(MATCH($J20,SorP!$B$1:$B$6230,0)),"",INDIRECT("'SorP'!$A$"&amp;MATCH($J20,SorP!$B$1:$B$6230,0))))</f>
        <v>CN-HA</v>
      </c>
      <c r="U20" s="238"/>
      <c r="V20" s="270">
        <f>IF(C20="",NA(),MATCH($B20&amp;$C20,'Smelter Look-up'!$J:$J,0))</f>
        <v>310</v>
      </c>
      <c r="W20" s="271"/>
      <c r="X20" s="271">
        <f t="shared" ca="1" si="4"/>
        <v>0</v>
      </c>
      <c r="Y20" s="271"/>
      <c r="Z20" s="271"/>
      <c r="AB20" s="273" t="str">
        <f t="shared" si="5"/>
        <v>GoldZhongyuan Gold Smelter of Zhongjin Gold Corporation</v>
      </c>
    </row>
    <row r="21" spans="1:28" s="272" customFormat="1" ht="24" customHeight="1">
      <c r="A21" s="214"/>
      <c r="B21" s="215" t="s">
        <v>1130</v>
      </c>
      <c r="C21" s="219" t="s">
        <v>2176</v>
      </c>
      <c r="D21" s="278"/>
      <c r="E21" s="215" t="str">
        <f ca="1">IF(ISERROR($V21),"",OFFSET('Smelter Look-up'!$D$4,$V21-4,0)&amp;"")</f>
        <v>CHINA</v>
      </c>
      <c r="F21" s="215" t="str">
        <f ca="1">IF(ISERROR($V21),"",OFFSET('Smelter Look-up'!$E$4,$V21-4,0))</f>
        <v>CID001622</v>
      </c>
      <c r="G21" s="215" t="str">
        <f ca="1">IF(C21=$X$4,"Enter smelter details",IF(ISERROR($V21),"",OFFSET('Smelter Look-up'!$F$4,$V21-4,0)))</f>
        <v>RMI</v>
      </c>
      <c r="H21" s="216">
        <f ca="1">IF(ISERROR($V21),"",OFFSET('Smelter Look-up'!$G$4,$V21-4,0))</f>
        <v>0</v>
      </c>
      <c r="I21" s="217" t="str">
        <f ca="1">IF(ISERROR($V21),"",OFFSET('Smelter Look-up'!$H$4,$V21-4,0))</f>
        <v>Zhaoyuan</v>
      </c>
      <c r="J21" s="217" t="str">
        <f ca="1">IF(ISERROR($V21),"",OFFSET('Smelter Look-up'!$I$4,$V21-4,0))</f>
        <v>Shandong Sheng</v>
      </c>
      <c r="K21" s="268"/>
      <c r="L21" s="268"/>
      <c r="M21" s="268"/>
      <c r="N21" s="268"/>
      <c r="O21" s="268"/>
      <c r="P21" s="218"/>
      <c r="Q21" s="354" t="s">
        <v>15621</v>
      </c>
      <c r="R21" s="215" t="str">
        <f ca="1">IF(ISERROR($V21),"",OFFSET('Smelter Look-up'!$C$4,$V21-4,0)&amp;"")</f>
        <v>Shandong Zhaojin Gold &amp; Silver Refinery Co., Ltd.</v>
      </c>
      <c r="S21" s="222" t="str">
        <f t="shared" ca="1" si="3"/>
        <v>CN</v>
      </c>
      <c r="T21" s="222" t="str">
        <f ca="1">IF(B21="","",IF(ISERROR(MATCH($J21,SorP!$B$1:$B$6230,0)),"",INDIRECT("'SorP'!$A$"&amp;MATCH($J21,SorP!$B$1:$B$6230,0))))</f>
        <v>CN-SD</v>
      </c>
      <c r="U21" s="238"/>
      <c r="V21" s="270">
        <f>IF(C21="",NA(),MATCH($B21&amp;$C21,'Smelter Look-up'!$J:$J,0))</f>
        <v>241</v>
      </c>
      <c r="W21" s="271"/>
      <c r="X21" s="271">
        <f t="shared" ca="1" si="4"/>
        <v>0</v>
      </c>
      <c r="Y21" s="271"/>
      <c r="Z21" s="271"/>
      <c r="AB21" s="273" t="str">
        <f t="shared" si="5"/>
        <v>GoldShandong Zhaojin Gold &amp; Silver Refinery Co., Ltd.</v>
      </c>
    </row>
    <row r="22" spans="1:28" s="272" customFormat="1" ht="76.5">
      <c r="A22" s="214"/>
      <c r="B22" s="215" t="s">
        <v>1130</v>
      </c>
      <c r="C22" s="219" t="s">
        <v>1626</v>
      </c>
      <c r="D22" s="278"/>
      <c r="E22" s="215" t="str">
        <f ca="1">IF(ISERROR($V22),"",OFFSET('Smelter Look-up'!$D$4,$V22-4,0)&amp;"")</f>
        <v>CHINA</v>
      </c>
      <c r="F22" s="215" t="str">
        <f ca="1">IF(ISERROR($V22),"",OFFSET('Smelter Look-up'!$E$4,$V22-4,0))</f>
        <v>CID001147</v>
      </c>
      <c r="G22" s="215" t="str">
        <f ca="1">IF(C22=$X$4,"Enter smelter details",IF(ISERROR($V22),"",OFFSET('Smelter Look-up'!$F$4,$V22-4,0)))</f>
        <v>RMI</v>
      </c>
      <c r="H22" s="216">
        <f ca="1">IF(ISERROR($V22),"",OFFSET('Smelter Look-up'!$G$4,$V22-4,0))</f>
        <v>0</v>
      </c>
      <c r="I22" s="217" t="str">
        <f ca="1">IF(ISERROR($V22),"",OFFSET('Smelter Look-up'!$H$4,$V22-4,0))</f>
        <v>Suzhou</v>
      </c>
      <c r="J22" s="217" t="str">
        <f ca="1">IF(ISERROR($V22),"",OFFSET('Smelter Look-up'!$I$4,$V22-4,0))</f>
        <v>Jiangsu Sheng</v>
      </c>
      <c r="K22" s="268"/>
      <c r="L22" s="268"/>
      <c r="M22" s="268"/>
      <c r="N22" s="268"/>
      <c r="O22" s="268"/>
      <c r="P22" s="218"/>
      <c r="Q22" s="354" t="s">
        <v>15621</v>
      </c>
      <c r="R22" s="215" t="str">
        <f ca="1">IF(ISERROR($V22),"",OFFSET('Smelter Look-up'!$C$4,$V22-4,0)&amp;"")</f>
        <v>Metalor Technologies (Suzhou) Ltd.</v>
      </c>
      <c r="S22" s="222" t="str">
        <f t="shared" ca="1" si="3"/>
        <v>CN</v>
      </c>
      <c r="T22" s="222" t="str">
        <f ca="1">IF(B22="","",IF(ISERROR(MATCH($J22,SorP!$B$1:$B$6230,0)),"",INDIRECT("'SorP'!$A$"&amp;MATCH($J22,SorP!$B$1:$B$6230,0))))</f>
        <v>CN-JS</v>
      </c>
      <c r="U22" s="238"/>
      <c r="V22" s="270">
        <f>IF(C22="",NA(),MATCH($B22&amp;$C22,'Smelter Look-up'!$J:$J,0))</f>
        <v>170</v>
      </c>
      <c r="W22" s="271"/>
      <c r="X22" s="271">
        <f t="shared" ca="1" si="4"/>
        <v>0</v>
      </c>
      <c r="Y22" s="271"/>
      <c r="Z22" s="271"/>
      <c r="AB22" s="273" t="str">
        <f t="shared" si="5"/>
        <v>GoldMetalor Technologies (Suzhou) Ltd.</v>
      </c>
    </row>
    <row r="23" spans="1:28" s="272" customFormat="1" ht="102">
      <c r="A23" s="214"/>
      <c r="B23" s="215" t="s">
        <v>1130</v>
      </c>
      <c r="C23" s="219" t="s">
        <v>2167</v>
      </c>
      <c r="D23" s="278"/>
      <c r="E23" s="215" t="str">
        <f ca="1">IF(ISERROR($V23),"",OFFSET('Smelter Look-up'!$D$4,$V23-4,0)&amp;"")</f>
        <v>SINGAPORE</v>
      </c>
      <c r="F23" s="215" t="str">
        <f ca="1">IF(ISERROR($V23),"",OFFSET('Smelter Look-up'!$E$4,$V23-4,0))</f>
        <v>CID001152</v>
      </c>
      <c r="G23" s="215" t="str">
        <f ca="1">IF(C23=$X$4,"Enter smelter details",IF(ISERROR($V23),"",OFFSET('Smelter Look-up'!$F$4,$V23-4,0)))</f>
        <v>RMI</v>
      </c>
      <c r="H23" s="216">
        <f ca="1">IF(ISERROR($V23),"",OFFSET('Smelter Look-up'!$G$4,$V23-4,0))</f>
        <v>0</v>
      </c>
      <c r="I23" s="217" t="str">
        <f ca="1">IF(ISERROR($V23),"",OFFSET('Smelter Look-up'!$H$4,$V23-4,0))</f>
        <v>Singapore</v>
      </c>
      <c r="J23" s="217" t="str">
        <f ca="1">IF(ISERROR($V23),"",OFFSET('Smelter Look-up'!$I$4,$V23-4,0))</f>
        <v>South West</v>
      </c>
      <c r="K23" s="268"/>
      <c r="L23" s="268"/>
      <c r="M23" s="268"/>
      <c r="N23" s="268"/>
      <c r="O23" s="268"/>
      <c r="P23" s="218"/>
      <c r="Q23" s="354" t="s">
        <v>15621</v>
      </c>
      <c r="R23" s="215" t="str">
        <f ca="1">IF(ISERROR($V23),"",OFFSET('Smelter Look-up'!$C$4,$V23-4,0)&amp;"")</f>
        <v>Metalor Technologies (Singapore) Pte., Ltd.</v>
      </c>
      <c r="S23" s="222" t="str">
        <f t="shared" ca="1" si="3"/>
        <v>SG</v>
      </c>
      <c r="T23" s="222" t="str">
        <f ca="1">IF(B23="","",IF(ISERROR(MATCH($J23,SorP!$B$1:$B$6230,0)),"",INDIRECT("'SorP'!$A$"&amp;MATCH($J23,SorP!$B$1:$B$6230,0))))</f>
        <v>SG-05</v>
      </c>
      <c r="U23" s="238"/>
      <c r="V23" s="270">
        <f>IF(C23="",NA(),MATCH($B23&amp;$C23,'Smelter Look-up'!$J:$J,0))</f>
        <v>169</v>
      </c>
      <c r="W23" s="271"/>
      <c r="X23" s="271">
        <f t="shared" ca="1" si="4"/>
        <v>0</v>
      </c>
      <c r="Y23" s="271"/>
      <c r="Z23" s="271"/>
      <c r="AB23" s="273" t="str">
        <f t="shared" si="5"/>
        <v>GoldMetalor Technologies (Singapore) Pte., Ltd.</v>
      </c>
    </row>
    <row r="24" spans="1:28" s="272" customFormat="1" ht="76.5">
      <c r="A24" s="214"/>
      <c r="B24" s="215" t="s">
        <v>1130</v>
      </c>
      <c r="C24" s="219" t="s">
        <v>1229</v>
      </c>
      <c r="D24" s="278"/>
      <c r="E24" s="215" t="str">
        <f ca="1">IF(ISERROR($V24),"",OFFSET('Smelter Look-up'!$D$4,$V24-4,0)&amp;"")</f>
        <v>UNITED STATES OF AMERICA</v>
      </c>
      <c r="F24" s="215" t="str">
        <f ca="1">IF(ISERROR($V24),"",OFFSET('Smelter Look-up'!$E$4,$V24-4,0))</f>
        <v>CID001157</v>
      </c>
      <c r="G24" s="215" t="str">
        <f ca="1">IF(C24=$X$4,"Enter smelter details",IF(ISERROR($V24),"",OFFSET('Smelter Look-up'!$F$4,$V24-4,0)))</f>
        <v>RMI</v>
      </c>
      <c r="H24" s="216">
        <f ca="1">IF(ISERROR($V24),"",OFFSET('Smelter Look-up'!$G$4,$V24-4,0))</f>
        <v>0</v>
      </c>
      <c r="I24" s="217" t="str">
        <f ca="1">IF(ISERROR($V24),"",OFFSET('Smelter Look-up'!$H$4,$V24-4,0))</f>
        <v>North Attleboro</v>
      </c>
      <c r="J24" s="217" t="str">
        <f ca="1">IF(ISERROR($V24),"",OFFSET('Smelter Look-up'!$I$4,$V24-4,0))</f>
        <v>Massachusetts</v>
      </c>
      <c r="K24" s="268"/>
      <c r="L24" s="268"/>
      <c r="M24" s="268"/>
      <c r="N24" s="268"/>
      <c r="O24" s="268"/>
      <c r="P24" s="218"/>
      <c r="Q24" s="354" t="s">
        <v>15621</v>
      </c>
      <c r="R24" s="215" t="str">
        <f ca="1">IF(ISERROR($V24),"",OFFSET('Smelter Look-up'!$C$4,$V24-4,0)&amp;"")</f>
        <v>Metalor USA Refining Corporation</v>
      </c>
      <c r="S24" s="222" t="str">
        <f t="shared" ca="1" si="3"/>
        <v>US</v>
      </c>
      <c r="T24" s="222" t="str">
        <f ca="1">IF(B24="","",IF(ISERROR(MATCH($J24,SorP!$B$1:$B$6230,0)),"",INDIRECT("'SorP'!$A$"&amp;MATCH($J24,SorP!$B$1:$B$6230,0))))</f>
        <v>US-MA</v>
      </c>
      <c r="U24" s="238"/>
      <c r="V24" s="270">
        <f>IF(C24="",NA(),MATCH($B24&amp;$C24,'Smelter Look-up'!$J:$J,0))</f>
        <v>172</v>
      </c>
      <c r="W24" s="271"/>
      <c r="X24" s="271">
        <f t="shared" ca="1" si="4"/>
        <v>0</v>
      </c>
      <c r="Y24" s="271"/>
      <c r="Z24" s="271"/>
      <c r="AB24" s="273" t="str">
        <f t="shared" si="5"/>
        <v>GoldMetalor USA Refining Corporation</v>
      </c>
    </row>
    <row r="25" spans="1:28" s="272" customFormat="1" ht="51">
      <c r="A25" s="214"/>
      <c r="B25" s="215" t="s">
        <v>1131</v>
      </c>
      <c r="C25" s="219" t="s">
        <v>51</v>
      </c>
      <c r="D25" s="278"/>
      <c r="E25" s="215" t="str">
        <f ca="1">IF(ISERROR($V25),"",OFFSET('Smelter Look-up'!$D$4,$V25-4,0)&amp;"")</f>
        <v>CHINA</v>
      </c>
      <c r="F25" s="215" t="str">
        <f ca="1">IF(ISERROR($V25),"",OFFSET('Smelter Look-up'!$E$4,$V25-4,0))</f>
        <v>CID002180</v>
      </c>
      <c r="G25" s="215" t="str">
        <f ca="1">IF(C25=$X$4,"Enter smelter details",IF(ISERROR($V25),"",OFFSET('Smelter Look-up'!$F$4,$V25-4,0)))</f>
        <v>RMI</v>
      </c>
      <c r="H25" s="216">
        <f ca="1">IF(ISERROR($V25),"",OFFSET('Smelter Look-up'!$G$4,$V25-4,0))</f>
        <v>0</v>
      </c>
      <c r="I25" s="217" t="str">
        <f ca="1">IF(ISERROR($V25),"",OFFSET('Smelter Look-up'!$H$4,$V25-4,0))</f>
        <v>Gejiu</v>
      </c>
      <c r="J25" s="217" t="str">
        <f ca="1">IF(ISERROR($V25),"",OFFSET('Smelter Look-up'!$I$4,$V25-4,0))</f>
        <v>Yunnan Sheng</v>
      </c>
      <c r="K25" s="268"/>
      <c r="L25" s="268"/>
      <c r="M25" s="268"/>
      <c r="N25" s="268"/>
      <c r="O25" s="268"/>
      <c r="P25" s="218"/>
      <c r="Q25" s="354" t="s">
        <v>15621</v>
      </c>
      <c r="R25" s="215" t="str">
        <f ca="1">IF(ISERROR($V25),"",OFFSET('Smelter Look-up'!$C$4,$V25-4,0)&amp;"")</f>
        <v>Yunnan Tin Company Limited</v>
      </c>
      <c r="S25" s="222" t="str">
        <f t="shared" ca="1" si="3"/>
        <v>CN</v>
      </c>
      <c r="T25" s="222" t="str">
        <f ca="1">IF(B25="","",IF(ISERROR(MATCH($J25,SorP!$B$1:$B$6230,0)),"",INDIRECT("'SorP'!$A$"&amp;MATCH($J25,SorP!$B$1:$B$6230,0))))</f>
        <v>CN-YN</v>
      </c>
      <c r="U25" s="238"/>
      <c r="V25" s="270">
        <f>IF(C25="",NA(),MATCH($B25&amp;$C25,'Smelter Look-up'!$J:$J,0))</f>
        <v>525</v>
      </c>
      <c r="W25" s="271"/>
      <c r="X25" s="271">
        <f t="shared" ca="1" si="4"/>
        <v>0</v>
      </c>
      <c r="Y25" s="271"/>
      <c r="Z25" s="271"/>
      <c r="AB25" s="273" t="str">
        <f t="shared" si="5"/>
        <v>TinYunnan Tin Company, Ltd.</v>
      </c>
    </row>
    <row r="26" spans="1:28" s="272" customFormat="1" ht="102">
      <c r="A26" s="214"/>
      <c r="B26" s="215" t="s">
        <v>1131</v>
      </c>
      <c r="C26" s="219" t="s">
        <v>2183</v>
      </c>
      <c r="D26" s="278"/>
      <c r="E26" s="215" t="str">
        <f ca="1">IF(ISERROR($V26),"",OFFSET('Smelter Look-up'!$D$4,$V26-4,0)&amp;"")</f>
        <v>CHINA</v>
      </c>
      <c r="F26" s="215" t="str">
        <f ca="1">IF(ISERROR($V26),"",OFFSET('Smelter Look-up'!$E$4,$V26-4,0))</f>
        <v>CID002158</v>
      </c>
      <c r="G26" s="215" t="str">
        <f ca="1">IF(C26=$X$4,"Enter smelter details",IF(ISERROR($V26),"",OFFSET('Smelter Look-up'!$F$4,$V26-4,0)))</f>
        <v>RMI</v>
      </c>
      <c r="H26" s="216">
        <f ca="1">IF(ISERROR($V26),"",OFFSET('Smelter Look-up'!$G$4,$V26-4,0))</f>
        <v>0</v>
      </c>
      <c r="I26" s="217" t="str">
        <f ca="1">IF(ISERROR($V26),"",OFFSET('Smelter Look-up'!$H$4,$V26-4,0))</f>
        <v>Gejiu</v>
      </c>
      <c r="J26" s="217" t="str">
        <f ca="1">IF(ISERROR($V26),"",OFFSET('Smelter Look-up'!$I$4,$V26-4,0))</f>
        <v>Yunnan Sheng</v>
      </c>
      <c r="K26" s="268"/>
      <c r="L26" s="268"/>
      <c r="M26" s="268"/>
      <c r="N26" s="268"/>
      <c r="O26" s="268"/>
      <c r="P26" s="218"/>
      <c r="Q26" s="354" t="s">
        <v>15621</v>
      </c>
      <c r="R26" s="215" t="str">
        <f ca="1">IF(ISERROR($V26),"",OFFSET('Smelter Look-up'!$C$4,$V26-4,0)&amp;"")</f>
        <v>Yunnan Chengfeng Non-ferrous Metals Co., Ltd.</v>
      </c>
      <c r="S26" s="222" t="str">
        <f t="shared" ca="1" si="3"/>
        <v>CN</v>
      </c>
      <c r="T26" s="222" t="str">
        <f ca="1">IF(B26="","",IF(ISERROR(MATCH($J26,SorP!$B$1:$B$6230,0)),"",INDIRECT("'SorP'!$A$"&amp;MATCH($J26,SorP!$B$1:$B$6230,0))))</f>
        <v>CN-YN</v>
      </c>
      <c r="U26" s="238"/>
      <c r="V26" s="270">
        <f>IF(C26="",NA(),MATCH($B26&amp;$C26,'Smelter Look-up'!$J:$J,0))</f>
        <v>520</v>
      </c>
      <c r="W26" s="271"/>
      <c r="X26" s="271">
        <f t="shared" ca="1" si="4"/>
        <v>0</v>
      </c>
      <c r="Y26" s="271"/>
      <c r="Z26" s="271"/>
      <c r="AB26" s="273" t="str">
        <f t="shared" si="5"/>
        <v>TinYunnan Chengfeng Non-ferrous Metals Co., Ltd.</v>
      </c>
    </row>
    <row r="27" spans="1:28" s="272" customFormat="1" ht="51">
      <c r="A27" s="214"/>
      <c r="B27" s="215" t="s">
        <v>1130</v>
      </c>
      <c r="C27" s="219" t="s">
        <v>1039</v>
      </c>
      <c r="D27" s="278"/>
      <c r="E27" s="215" t="str">
        <f ca="1">IF(ISERROR($V27),"",OFFSET('Smelter Look-up'!$D$4,$V27-4,0)&amp;"")</f>
        <v>GERMANY</v>
      </c>
      <c r="F27" s="215" t="str">
        <f ca="1">IF(ISERROR($V27),"",OFFSET('Smelter Look-up'!$E$4,$V27-4,0))</f>
        <v>CID000694</v>
      </c>
      <c r="G27" s="215" t="str">
        <f ca="1">IF(C27=$X$4,"Enter smelter details",IF(ISERROR($V27),"",OFFSET('Smelter Look-up'!$F$4,$V27-4,0)))</f>
        <v>RMI</v>
      </c>
      <c r="H27" s="216">
        <f ca="1">IF(ISERROR($V27),"",OFFSET('Smelter Look-up'!$G$4,$V27-4,0))</f>
        <v>0</v>
      </c>
      <c r="I27" s="217" t="str">
        <f ca="1">IF(ISERROR($V27),"",OFFSET('Smelter Look-up'!$H$4,$V27-4,0))</f>
        <v>Pforzheim</v>
      </c>
      <c r="J27" s="217" t="str">
        <f ca="1">IF(ISERROR($V27),"",OFFSET('Smelter Look-up'!$I$4,$V27-4,0))</f>
        <v>Baden-Württemberg</v>
      </c>
      <c r="K27" s="268"/>
      <c r="L27" s="268"/>
      <c r="M27" s="268"/>
      <c r="N27" s="268"/>
      <c r="O27" s="268"/>
      <c r="P27" s="218"/>
      <c r="Q27" s="355" t="s">
        <v>15622</v>
      </c>
      <c r="R27" s="215" t="str">
        <f ca="1">IF(ISERROR($V27),"",OFFSET('Smelter Look-up'!$C$4,$V27-4,0)&amp;"")</f>
        <v>Heimerle + Meule GmbH</v>
      </c>
      <c r="S27" s="222" t="str">
        <f t="shared" ca="1" si="3"/>
        <v>DE</v>
      </c>
      <c r="T27" s="222" t="str">
        <f ca="1">IF(B27="","",IF(ISERROR(MATCH($J27,SorP!$B$1:$B$6230,0)),"",INDIRECT("'SorP'!$A$"&amp;MATCH($J27,SorP!$B$1:$B$6230,0))))</f>
        <v>DE-BW</v>
      </c>
      <c r="U27" s="238"/>
      <c r="V27" s="270">
        <f>IF(C27="",NA(),MATCH($B27&amp;$C27,'Smelter Look-up'!$J:$J,0))</f>
        <v>97</v>
      </c>
      <c r="W27" s="271"/>
      <c r="X27" s="271">
        <f t="shared" ca="1" si="4"/>
        <v>0</v>
      </c>
      <c r="Y27" s="271"/>
      <c r="Z27" s="271"/>
      <c r="AB27" s="273" t="str">
        <f t="shared" si="5"/>
        <v>GoldHeimerle + Meule GmbH</v>
      </c>
    </row>
    <row r="28" spans="1:28" s="272" customFormat="1" ht="63.75">
      <c r="A28" s="214"/>
      <c r="B28" s="215" t="s">
        <v>1130</v>
      </c>
      <c r="C28" s="219" t="s">
        <v>2331</v>
      </c>
      <c r="D28" s="278"/>
      <c r="E28" s="215" t="str">
        <f ca="1">IF(ISERROR($V28),"",OFFSET('Smelter Look-up'!$D$4,$V28-4,0)&amp;"")</f>
        <v>SWITZERLAND</v>
      </c>
      <c r="F28" s="215" t="str">
        <f ca="1">IF(ISERROR($V28),"",OFFSET('Smelter Look-up'!$E$4,$V28-4,0))</f>
        <v>CID001153</v>
      </c>
      <c r="G28" s="215" t="str">
        <f ca="1">IF(C28=$X$4,"Enter smelter details",IF(ISERROR($V28),"",OFFSET('Smelter Look-up'!$F$4,$V28-4,0)))</f>
        <v>RMI</v>
      </c>
      <c r="H28" s="216">
        <f ca="1">IF(ISERROR($V28),"",OFFSET('Smelter Look-up'!$G$4,$V28-4,0))</f>
        <v>0</v>
      </c>
      <c r="I28" s="217" t="str">
        <f ca="1">IF(ISERROR($V28),"",OFFSET('Smelter Look-up'!$H$4,$V28-4,0))</f>
        <v>Marin</v>
      </c>
      <c r="J28" s="217" t="str">
        <f ca="1">IF(ISERROR($V28),"",OFFSET('Smelter Look-up'!$I$4,$V28-4,0))</f>
        <v>Neuchâtel</v>
      </c>
      <c r="K28" s="268"/>
      <c r="L28" s="268"/>
      <c r="M28" s="268"/>
      <c r="N28" s="268"/>
      <c r="O28" s="268"/>
      <c r="P28" s="218"/>
      <c r="Q28" s="355" t="s">
        <v>15622</v>
      </c>
      <c r="R28" s="215" t="str">
        <f ca="1">IF(ISERROR($V28),"",OFFSET('Smelter Look-up'!$C$4,$V28-4,0)&amp;"")</f>
        <v>Metalor Technologies S.A.</v>
      </c>
      <c r="S28" s="222" t="str">
        <f t="shared" ca="1" si="3"/>
        <v>CH</v>
      </c>
      <c r="T28" s="222" t="str">
        <f ca="1">IF(B28="","",IF(ISERROR(MATCH($J28,SorP!$B$1:$B$6230,0)),"",INDIRECT("'SorP'!$A$"&amp;MATCH($J28,SorP!$B$1:$B$6230,0))))</f>
        <v>CH-NE</v>
      </c>
      <c r="U28" s="238"/>
      <c r="V28" s="270">
        <f>IF(C28="",NA(),MATCH($B28&amp;$C28,'Smelter Look-up'!$J:$J,0))</f>
        <v>171</v>
      </c>
      <c r="W28" s="271"/>
      <c r="X28" s="271">
        <f t="shared" ca="1" si="4"/>
        <v>0</v>
      </c>
      <c r="Y28" s="271"/>
      <c r="Z28" s="271"/>
      <c r="AB28" s="273" t="str">
        <f t="shared" si="5"/>
        <v>GoldMetalor Technologies S.A.</v>
      </c>
    </row>
    <row r="29" spans="1:28" s="272" customFormat="1" ht="51">
      <c r="A29" s="214"/>
      <c r="B29" s="215" t="s">
        <v>1130</v>
      </c>
      <c r="C29" s="219" t="s">
        <v>2309</v>
      </c>
      <c r="D29" s="278"/>
      <c r="E29" s="215" t="str">
        <f ca="1">IF(ISERROR($V29),"",OFFSET('Smelter Look-up'!$D$4,$V29-4,0)&amp;"")</f>
        <v>SWITZERLAND</v>
      </c>
      <c r="F29" s="215" t="str">
        <f ca="1">IF(ISERROR($V29),"",OFFSET('Smelter Look-up'!$E$4,$V29-4,0))</f>
        <v>CID000077</v>
      </c>
      <c r="G29" s="215" t="str">
        <f ca="1">IF(C29=$X$4,"Enter smelter details",IF(ISERROR($V29),"",OFFSET('Smelter Look-up'!$F$4,$V29-4,0)))</f>
        <v>RMI</v>
      </c>
      <c r="H29" s="216">
        <f ca="1">IF(ISERROR($V29),"",OFFSET('Smelter Look-up'!$G$4,$V29-4,0))</f>
        <v>0</v>
      </c>
      <c r="I29" s="217" t="str">
        <f ca="1">IF(ISERROR($V29),"",OFFSET('Smelter Look-up'!$H$4,$V29-4,0))</f>
        <v>Mendrisio</v>
      </c>
      <c r="J29" s="217" t="str">
        <f ca="1">IF(ISERROR($V29),"",OFFSET('Smelter Look-up'!$I$4,$V29-4,0))</f>
        <v>Ticino</v>
      </c>
      <c r="K29" s="268"/>
      <c r="L29" s="268"/>
      <c r="M29" s="268"/>
      <c r="N29" s="268"/>
      <c r="O29" s="268"/>
      <c r="P29" s="218"/>
      <c r="Q29" s="355" t="s">
        <v>15622</v>
      </c>
      <c r="R29" s="215" t="str">
        <f ca="1">IF(ISERROR($V29),"",OFFSET('Smelter Look-up'!$C$4,$V29-4,0)&amp;"")</f>
        <v>Argor-Heraeus S.A.</v>
      </c>
      <c r="S29" s="222" t="str">
        <f t="shared" ca="1" si="3"/>
        <v>CH</v>
      </c>
      <c r="T29" s="222" t="str">
        <f ca="1">IF(B29="","",IF(ISERROR(MATCH($J29,SorP!$B$1:$B$6230,0)),"",INDIRECT("'SorP'!$A$"&amp;MATCH($J29,SorP!$B$1:$B$6230,0))))</f>
        <v>CH-TI</v>
      </c>
      <c r="U29" s="238"/>
      <c r="V29" s="270">
        <f>IF(C29="",NA(),MATCH($B29&amp;$C29,'Smelter Look-up'!$J:$J,0))</f>
        <v>25</v>
      </c>
      <c r="W29" s="271"/>
      <c r="X29" s="271">
        <f t="shared" ca="1" si="4"/>
        <v>0</v>
      </c>
      <c r="Y29" s="271"/>
      <c r="Z29" s="271"/>
      <c r="AB29" s="273" t="str">
        <f t="shared" si="5"/>
        <v>GoldArgor-Heraeus S.A.</v>
      </c>
    </row>
    <row r="30" spans="1:28" s="272" customFormat="1" ht="25.5">
      <c r="A30" s="214"/>
      <c r="B30" s="215" t="s">
        <v>1130</v>
      </c>
      <c r="C30" s="219" t="s">
        <v>1224</v>
      </c>
      <c r="D30" s="278"/>
      <c r="E30" s="215" t="str">
        <f ca="1">IF(ISERROR($V30),"",OFFSET('Smelter Look-up'!$D$4,$V30-4,0)&amp;"")</f>
        <v>GERMANY</v>
      </c>
      <c r="F30" s="215" t="str">
        <f ca="1">IF(ISERROR($V30),"",OFFSET('Smelter Look-up'!$E$4,$V30-4,0))</f>
        <v>CID000113</v>
      </c>
      <c r="G30" s="215" t="str">
        <f ca="1">IF(C30=$X$4,"Enter smelter details",IF(ISERROR($V30),"",OFFSET('Smelter Look-up'!$F$4,$V30-4,0)))</f>
        <v>RMI</v>
      </c>
      <c r="H30" s="216">
        <f ca="1">IF(ISERROR($V30),"",OFFSET('Smelter Look-up'!$G$4,$V30-4,0))</f>
        <v>0</v>
      </c>
      <c r="I30" s="217" t="str">
        <f ca="1">IF(ISERROR($V30),"",OFFSET('Smelter Look-up'!$H$4,$V30-4,0))</f>
        <v>Hamburg</v>
      </c>
      <c r="J30" s="217" t="str">
        <f ca="1">IF(ISERROR($V30),"",OFFSET('Smelter Look-up'!$I$4,$V30-4,0))</f>
        <v>Hamburg</v>
      </c>
      <c r="K30" s="268"/>
      <c r="L30" s="268"/>
      <c r="M30" s="268"/>
      <c r="N30" s="268"/>
      <c r="O30" s="268"/>
      <c r="P30" s="218"/>
      <c r="Q30" s="355" t="s">
        <v>15622</v>
      </c>
      <c r="R30" s="215" t="str">
        <f ca="1">IF(ISERROR($V30),"",OFFSET('Smelter Look-up'!$C$4,$V30-4,0)&amp;"")</f>
        <v>Aurubis AG</v>
      </c>
      <c r="S30" s="222" t="str">
        <f t="shared" ca="1" si="3"/>
        <v>DE</v>
      </c>
      <c r="T30" s="222" t="str">
        <f ca="1">IF(B30="","",IF(ISERROR(MATCH($J30,SorP!$B$1:$B$6230,0)),"",INDIRECT("'SorP'!$A$"&amp;MATCH($J30,SorP!$B$1:$B$6230,0))))</f>
        <v>DE-HH</v>
      </c>
      <c r="U30" s="238"/>
      <c r="V30" s="270">
        <f>IF(C30="",NA(),MATCH($B30&amp;$C30,'Smelter Look-up'!$J:$J,0))</f>
        <v>34</v>
      </c>
      <c r="W30" s="271"/>
      <c r="X30" s="271">
        <f t="shared" ca="1" si="4"/>
        <v>0</v>
      </c>
      <c r="Y30" s="271"/>
      <c r="Z30" s="271"/>
      <c r="AB30" s="273" t="str">
        <f t="shared" si="5"/>
        <v>GoldAurubis AG</v>
      </c>
    </row>
    <row r="31" spans="1:28" s="272" customFormat="1" ht="76.5">
      <c r="A31" s="214"/>
      <c r="B31" s="215" t="s">
        <v>1130</v>
      </c>
      <c r="C31" s="219" t="s">
        <v>1227</v>
      </c>
      <c r="D31" s="278"/>
      <c r="E31" s="215" t="str">
        <f ca="1">IF(ISERROR($V31),"",OFFSET('Smelter Look-up'!$D$4,$V31-4,0)&amp;"")</f>
        <v>GERMANY</v>
      </c>
      <c r="F31" s="215" t="str">
        <f ca="1">IF(ISERROR($V31),"",OFFSET('Smelter Look-up'!$E$4,$V31-4,0))</f>
        <v>CID000711</v>
      </c>
      <c r="G31" s="215" t="str">
        <f ca="1">IF(C31=$X$4,"Enter smelter details",IF(ISERROR($V31),"",OFFSET('Smelter Look-up'!$F$4,$V31-4,0)))</f>
        <v>RMI</v>
      </c>
      <c r="H31" s="216">
        <f ca="1">IF(ISERROR($V31),"",OFFSET('Smelter Look-up'!$G$4,$V31-4,0))</f>
        <v>0</v>
      </c>
      <c r="I31" s="217" t="str">
        <f ca="1">IF(ISERROR($V31),"",OFFSET('Smelter Look-up'!$H$4,$V31-4,0))</f>
        <v>Hanau</v>
      </c>
      <c r="J31" s="217" t="str">
        <f ca="1">IF(ISERROR($V31),"",OFFSET('Smelter Look-up'!$I$4,$V31-4,0))</f>
        <v>Hessen</v>
      </c>
      <c r="K31" s="268"/>
      <c r="L31" s="268"/>
      <c r="M31" s="268"/>
      <c r="N31" s="268"/>
      <c r="O31" s="268"/>
      <c r="P31" s="218"/>
      <c r="Q31" s="355" t="s">
        <v>15622</v>
      </c>
      <c r="R31" s="215" t="str">
        <f ca="1">IF(ISERROR($V31),"",OFFSET('Smelter Look-up'!$C$4,$V31-4,0)&amp;"")</f>
        <v>Heraeus Germany GmbH Co. KG</v>
      </c>
      <c r="S31" s="222" t="str">
        <f t="shared" ca="1" si="3"/>
        <v>DE</v>
      </c>
      <c r="T31" s="222" t="str">
        <f ca="1">IF(B31="","",IF(ISERROR(MATCH($J31,SorP!$B$1:$B$6230,0)),"",INDIRECT("'SorP'!$A$"&amp;MATCH($J31,SorP!$B$1:$B$6230,0))))</f>
        <v>DE-HE</v>
      </c>
      <c r="U31" s="238"/>
      <c r="V31" s="270">
        <f>IF(C31="",NA(),MATCH($B31&amp;$C31,'Smelter Look-up'!$J:$J,0))</f>
        <v>104</v>
      </c>
      <c r="W31" s="271"/>
      <c r="X31" s="271">
        <f t="shared" ca="1" si="4"/>
        <v>0</v>
      </c>
      <c r="Y31" s="271"/>
      <c r="Z31" s="271"/>
      <c r="AB31" s="273" t="str">
        <f t="shared" si="5"/>
        <v>GoldHeraeus Precious Metals GmbH &amp; Co. KG</v>
      </c>
    </row>
    <row r="32" spans="1:28" s="272" customFormat="1" ht="51">
      <c r="A32" s="214"/>
      <c r="B32" s="215" t="s">
        <v>1130</v>
      </c>
      <c r="C32" s="219" t="s">
        <v>661</v>
      </c>
      <c r="D32" s="278"/>
      <c r="E32" s="215" t="str">
        <f ca="1">IF(ISERROR($V32),"",OFFSET('Smelter Look-up'!$D$4,$V32-4,0)&amp;"")</f>
        <v>GERMANY</v>
      </c>
      <c r="F32" s="215" t="str">
        <f ca="1">IF(ISERROR($V32),"",OFFSET('Smelter Look-up'!$E$4,$V32-4,0))</f>
        <v>CID000176</v>
      </c>
      <c r="G32" s="215" t="str">
        <f ca="1">IF(C32=$X$4,"Enter smelter details",IF(ISERROR($V32),"",OFFSET('Smelter Look-up'!$F$4,$V32-4,0)))</f>
        <v>RMI</v>
      </c>
      <c r="H32" s="216">
        <f ca="1">IF(ISERROR($V32),"",OFFSET('Smelter Look-up'!$G$4,$V32-4,0))</f>
        <v>0</v>
      </c>
      <c r="I32" s="217" t="str">
        <f ca="1">IF(ISERROR($V32),"",OFFSET('Smelter Look-up'!$H$4,$V32-4,0))</f>
        <v>Pforzheim</v>
      </c>
      <c r="J32" s="217" t="str">
        <f ca="1">IF(ISERROR($V32),"",OFFSET('Smelter Look-up'!$I$4,$V32-4,0))</f>
        <v>Baden-Württemberg</v>
      </c>
      <c r="K32" s="268"/>
      <c r="L32" s="268"/>
      <c r="M32" s="268"/>
      <c r="N32" s="268"/>
      <c r="O32" s="268"/>
      <c r="P32" s="218"/>
      <c r="Q32" s="355" t="s">
        <v>15622</v>
      </c>
      <c r="R32" s="215" t="str">
        <f ca="1">IF(ISERROR($V32),"",OFFSET('Smelter Look-up'!$C$4,$V32-4,0)&amp;"")</f>
        <v>C. Hafner GmbH + Co. KG</v>
      </c>
      <c r="S32" s="222" t="str">
        <f t="shared" ca="1" si="3"/>
        <v>DE</v>
      </c>
      <c r="T32" s="222" t="str">
        <f ca="1">IF(B32="","",IF(ISERROR(MATCH($J32,SorP!$B$1:$B$6230,0)),"",INDIRECT("'SorP'!$A$"&amp;MATCH($J32,SorP!$B$1:$B$6230,0))))</f>
        <v>DE-BW</v>
      </c>
      <c r="U32" s="238"/>
      <c r="V32" s="270">
        <f>IF(C32="",NA(),MATCH($B32&amp;$C32,'Smelter Look-up'!$J:$J,0))</f>
        <v>40</v>
      </c>
      <c r="W32" s="271"/>
      <c r="X32" s="271">
        <f t="shared" ca="1" si="4"/>
        <v>0</v>
      </c>
      <c r="Y32" s="271"/>
      <c r="Z32" s="271"/>
      <c r="AB32" s="273" t="str">
        <f t="shared" si="5"/>
        <v>GoldC. Hafner GmbH + Co. KG</v>
      </c>
    </row>
    <row r="33" spans="1:28" s="272" customFormat="1" ht="76.5">
      <c r="A33" s="214"/>
      <c r="B33" s="215" t="s">
        <v>1130</v>
      </c>
      <c r="C33" s="219" t="s">
        <v>13133</v>
      </c>
      <c r="D33" s="278"/>
      <c r="E33" s="215" t="str">
        <f ca="1">IF(ISERROR($V33),"",OFFSET('Smelter Look-up'!$D$4,$V33-4,0)&amp;"")</f>
        <v>GERMANY</v>
      </c>
      <c r="F33" s="215" t="str">
        <f ca="1">IF(ISERROR($V33),"",OFFSET('Smelter Look-up'!$E$4,$V33-4,0))</f>
        <v>CID000362</v>
      </c>
      <c r="G33" s="215" t="str">
        <f ca="1">IF(C33=$X$4,"Enter smelter details",IF(ISERROR($V33),"",OFFSET('Smelter Look-up'!$F$4,$V33-4,0)))</f>
        <v>RMI</v>
      </c>
      <c r="H33" s="216">
        <f ca="1">IF(ISERROR($V33),"",OFFSET('Smelter Look-up'!$G$4,$V33-4,0))</f>
        <v>0</v>
      </c>
      <c r="I33" s="217" t="str">
        <f ca="1">IF(ISERROR($V33),"",OFFSET('Smelter Look-up'!$H$4,$V33-4,0))</f>
        <v>Pforzheim</v>
      </c>
      <c r="J33" s="217" t="str">
        <f ca="1">IF(ISERROR($V33),"",OFFSET('Smelter Look-up'!$I$4,$V33-4,0))</f>
        <v>Baden-Württemberg</v>
      </c>
      <c r="K33" s="268"/>
      <c r="L33" s="268"/>
      <c r="M33" s="268"/>
      <c r="N33" s="268"/>
      <c r="O33" s="268"/>
      <c r="P33" s="218"/>
      <c r="Q33" s="355" t="s">
        <v>15622</v>
      </c>
      <c r="R33" s="215" t="str">
        <f ca="1">IF(ISERROR($V33),"",OFFSET('Smelter Look-up'!$C$4,$V33-4,0)&amp;"")</f>
        <v>DODUCO Contacts and Refining GmbH</v>
      </c>
      <c r="S33" s="222" t="str">
        <f t="shared" ca="1" si="3"/>
        <v>DE</v>
      </c>
      <c r="T33" s="222" t="str">
        <f ca="1">IF(B33="","",IF(ISERROR(MATCH($J33,SorP!$B$1:$B$6230,0)),"",INDIRECT("'SorP'!$A$"&amp;MATCH($J33,SorP!$B$1:$B$6230,0))))</f>
        <v>DE-BW</v>
      </c>
      <c r="U33" s="238"/>
      <c r="V33" s="270">
        <f>IF(C33="",NA(),MATCH($B33&amp;$C33,'Smelter Look-up'!$J:$J,0))</f>
        <v>62</v>
      </c>
      <c r="W33" s="271"/>
      <c r="X33" s="271">
        <f t="shared" ca="1" si="4"/>
        <v>0</v>
      </c>
      <c r="Y33" s="271"/>
      <c r="Z33" s="271"/>
      <c r="AB33" s="273" t="str">
        <f t="shared" si="5"/>
        <v>GoldDODUCO Contacts and Refining GmbH</v>
      </c>
    </row>
    <row r="34" spans="1:28" s="272" customFormat="1" ht="127.5">
      <c r="A34" s="214"/>
      <c r="B34" s="215" t="s">
        <v>1130</v>
      </c>
      <c r="C34" s="219" t="s">
        <v>12647</v>
      </c>
      <c r="D34" s="278"/>
      <c r="E34" s="215" t="str">
        <f ca="1">IF(ISERROR($V34),"",OFFSET('Smelter Look-up'!$D$4,$V34-4,0)&amp;"")</f>
        <v>AUSTRIA</v>
      </c>
      <c r="F34" s="215" t="str">
        <f ca="1">IF(ISERROR($V34),"",OFFSET('Smelter Look-up'!$E$4,$V34-4,0))</f>
        <v>CID002779</v>
      </c>
      <c r="G34" s="215" t="str">
        <f ca="1">IF(C34=$X$4,"Enter smelter details",IF(ISERROR($V34),"",OFFSET('Smelter Look-up'!$F$4,$V34-4,0)))</f>
        <v>RMI</v>
      </c>
      <c r="H34" s="216">
        <f ca="1">IF(ISERROR($V34),"",OFFSET('Smelter Look-up'!$G$4,$V34-4,0))</f>
        <v>0</v>
      </c>
      <c r="I34" s="217" t="str">
        <f ca="1">IF(ISERROR($V34),"",OFFSET('Smelter Look-up'!$H$4,$V34-4,0))</f>
        <v>Vienna</v>
      </c>
      <c r="J34" s="217" t="str">
        <f ca="1">IF(ISERROR($V34),"",OFFSET('Smelter Look-up'!$I$4,$V34-4,0))</f>
        <v>Wien</v>
      </c>
      <c r="K34" s="268"/>
      <c r="L34" s="268"/>
      <c r="M34" s="268"/>
      <c r="N34" s="268"/>
      <c r="O34" s="268"/>
      <c r="P34" s="218"/>
      <c r="Q34" s="355" t="s">
        <v>15622</v>
      </c>
      <c r="R34" s="215" t="str">
        <f ca="1">IF(ISERROR($V34),"",OFFSET('Smelter Look-up'!$C$4,$V34-4,0)&amp;"")</f>
        <v>Ogussa Osterreichische Gold- und Silber-Scheideanstalt GmbH</v>
      </c>
      <c r="S34" s="222" t="str">
        <f t="shared" ca="1" si="3"/>
        <v>AT</v>
      </c>
      <c r="T34" s="222" t="str">
        <f ca="1">IF(B34="","",IF(ISERROR(MATCH($J34,SorP!$B$1:$B$6230,0)),"",INDIRECT("'SorP'!$A$"&amp;MATCH($J34,SorP!$B$1:$B$6230,0))))</f>
        <v>AT-9</v>
      </c>
      <c r="U34" s="238"/>
      <c r="V34" s="270">
        <f>IF(C34="",NA(),MATCH($B34&amp;$C34,'Smelter Look-up'!$J:$J,0))</f>
        <v>191</v>
      </c>
      <c r="W34" s="271"/>
      <c r="X34" s="271">
        <f t="shared" ca="1" si="4"/>
        <v>0</v>
      </c>
      <c r="Y34" s="271"/>
      <c r="Z34" s="271"/>
      <c r="AB34" s="273" t="str">
        <f t="shared" si="5"/>
        <v>GoldOgussa Osterreichische Gold- und Silber-Scheideanstalt GmbH</v>
      </c>
    </row>
    <row r="35" spans="1:28" s="272" customFormat="1" ht="51">
      <c r="A35" s="214"/>
      <c r="B35" s="215" t="s">
        <v>1130</v>
      </c>
      <c r="C35" s="219" t="s">
        <v>1039</v>
      </c>
      <c r="D35" s="278"/>
      <c r="E35" s="215" t="str">
        <f ca="1">IF(ISERROR($V35),"",OFFSET('Smelter Look-up'!$D$4,$V35-4,0)&amp;"")</f>
        <v>GERMANY</v>
      </c>
      <c r="F35" s="215" t="str">
        <f ca="1">IF(ISERROR($V35),"",OFFSET('Smelter Look-up'!$E$4,$V35-4,0))</f>
        <v>CID000694</v>
      </c>
      <c r="G35" s="215" t="str">
        <f ca="1">IF(C35=$X$4,"Enter smelter details",IF(ISERROR($V35),"",OFFSET('Smelter Look-up'!$F$4,$V35-4,0)))</f>
        <v>RMI</v>
      </c>
      <c r="H35" s="216">
        <f ca="1">IF(ISERROR($V35),"",OFFSET('Smelter Look-up'!$G$4,$V35-4,0))</f>
        <v>0</v>
      </c>
      <c r="I35" s="217" t="str">
        <f ca="1">IF(ISERROR($V35),"",OFFSET('Smelter Look-up'!$H$4,$V35-4,0))</f>
        <v>Pforzheim</v>
      </c>
      <c r="J35" s="217" t="str">
        <f ca="1">IF(ISERROR($V35),"",OFFSET('Smelter Look-up'!$I$4,$V35-4,0))</f>
        <v>Baden-Württemberg</v>
      </c>
      <c r="K35" s="268"/>
      <c r="L35" s="268"/>
      <c r="M35" s="268"/>
      <c r="N35" s="268"/>
      <c r="O35" s="268"/>
      <c r="P35" s="218"/>
      <c r="Q35" s="355" t="s">
        <v>15622</v>
      </c>
      <c r="R35" s="215" t="str">
        <f ca="1">IF(ISERROR($V35),"",OFFSET('Smelter Look-up'!$C$4,$V35-4,0)&amp;"")</f>
        <v>Heimerle + Meule GmbH</v>
      </c>
      <c r="S35" s="222" t="str">
        <f t="shared" ca="1" si="3"/>
        <v>DE</v>
      </c>
      <c r="T35" s="222" t="str">
        <f ca="1">IF(B35="","",IF(ISERROR(MATCH($J35,SorP!$B$1:$B$6230,0)),"",INDIRECT("'SorP'!$A$"&amp;MATCH($J35,SorP!$B$1:$B$6230,0))))</f>
        <v>DE-BW</v>
      </c>
      <c r="U35" s="238"/>
      <c r="V35" s="270">
        <f>IF(C35="",NA(),MATCH($B35&amp;$C35,'Smelter Look-up'!$J:$J,0))</f>
        <v>97</v>
      </c>
      <c r="W35" s="271"/>
      <c r="X35" s="271">
        <f t="shared" ca="1" si="4"/>
        <v>0</v>
      </c>
      <c r="Y35" s="271"/>
      <c r="Z35" s="271"/>
      <c r="AB35" s="273" t="str">
        <f t="shared" si="5"/>
        <v>GoldHeimerle + Meule GmbH</v>
      </c>
    </row>
    <row r="36" spans="1:28" s="272" customFormat="1" ht="102">
      <c r="A36" s="214"/>
      <c r="B36" s="215" t="s">
        <v>1130</v>
      </c>
      <c r="C36" s="219" t="s">
        <v>2358</v>
      </c>
      <c r="D36" s="278"/>
      <c r="E36" s="215" t="str">
        <f ca="1">IF(ISERROR($V36),"",OFFSET('Smelter Look-up'!$D$4,$V36-4,0)&amp;"")</f>
        <v>BELGIUM</v>
      </c>
      <c r="F36" s="215" t="str">
        <f ca="1">IF(ISERROR($V36),"",OFFSET('Smelter Look-up'!$E$4,$V36-4,0))</f>
        <v>CID001980</v>
      </c>
      <c r="G36" s="215" t="str">
        <f ca="1">IF(C36=$X$4,"Enter smelter details",IF(ISERROR($V36),"",OFFSET('Smelter Look-up'!$F$4,$V36-4,0)))</f>
        <v>RMI</v>
      </c>
      <c r="H36" s="216">
        <f ca="1">IF(ISERROR($V36),"",OFFSET('Smelter Look-up'!$G$4,$V36-4,0))</f>
        <v>0</v>
      </c>
      <c r="I36" s="217" t="str">
        <f ca="1">IF(ISERROR($V36),"",OFFSET('Smelter Look-up'!$H$4,$V36-4,0))</f>
        <v>Hoboken</v>
      </c>
      <c r="J36" s="217" t="str">
        <f ca="1">IF(ISERROR($V36),"",OFFSET('Smelter Look-up'!$I$4,$V36-4,0))</f>
        <v>Antwerpen</v>
      </c>
      <c r="K36" s="268"/>
      <c r="L36" s="268"/>
      <c r="M36" s="268"/>
      <c r="N36" s="268"/>
      <c r="O36" s="268"/>
      <c r="P36" s="218"/>
      <c r="Q36" s="355" t="s">
        <v>15622</v>
      </c>
      <c r="R36" s="215" t="str">
        <f ca="1">IF(ISERROR($V36),"",OFFSET('Smelter Look-up'!$C$4,$V36-4,0)&amp;"")</f>
        <v>Umicore S.A. Business Unit Precious Metals Refining</v>
      </c>
      <c r="S36" s="222" t="str">
        <f t="shared" ca="1" si="3"/>
        <v>BE</v>
      </c>
      <c r="T36" s="222" t="str">
        <f ca="1">IF(B36="","",IF(ISERROR(MATCH($J36,SorP!$B$1:$B$6230,0)),"",INDIRECT("'SorP'!$A$"&amp;MATCH($J36,SorP!$B$1:$B$6230,0))))</f>
        <v>BE-VAN</v>
      </c>
      <c r="U36" s="238"/>
      <c r="V36" s="270">
        <f>IF(C36="",NA(),MATCH($B36&amp;$C36,'Smelter Look-up'!$J:$J,0))</f>
        <v>286</v>
      </c>
      <c r="W36" s="271"/>
      <c r="X36" s="271">
        <f t="shared" ca="1" si="4"/>
        <v>0</v>
      </c>
      <c r="Y36" s="271"/>
      <c r="Z36" s="271"/>
      <c r="AB36" s="273" t="str">
        <f t="shared" si="5"/>
        <v>GoldUmicore S.A. Business Unit Precious Metals Refining</v>
      </c>
    </row>
    <row r="37" spans="1:28" s="272" customFormat="1" ht="63.75">
      <c r="A37" s="214"/>
      <c r="B37" s="215" t="s">
        <v>1130</v>
      </c>
      <c r="C37" s="219" t="s">
        <v>2219</v>
      </c>
      <c r="D37" s="278"/>
      <c r="E37" s="215" t="str">
        <f ca="1">IF(ISERROR($V37),"",OFFSET('Smelter Look-up'!$D$4,$V37-4,0)&amp;"")</f>
        <v>GERMANY</v>
      </c>
      <c r="F37" s="215" t="str">
        <f ca="1">IF(ISERROR($V37),"",OFFSET('Smelter Look-up'!$E$4,$V37-4,0))</f>
        <v>CID002777</v>
      </c>
      <c r="G37" s="215" t="str">
        <f ca="1">IF(C37=$X$4,"Enter smelter details",IF(ISERROR($V37),"",OFFSET('Smelter Look-up'!$F$4,$V37-4,0)))</f>
        <v>RMI</v>
      </c>
      <c r="H37" s="216">
        <f ca="1">IF(ISERROR($V37),"",OFFSET('Smelter Look-up'!$G$4,$V37-4,0))</f>
        <v>0</v>
      </c>
      <c r="I37" s="217" t="str">
        <f ca="1">IF(ISERROR($V37),"",OFFSET('Smelter Look-up'!$H$4,$V37-4,0))</f>
        <v>Halsbrücke</v>
      </c>
      <c r="J37" s="217" t="str">
        <f ca="1">IF(ISERROR($V37),"",OFFSET('Smelter Look-up'!$I$4,$V37-4,0))</f>
        <v>Sachsen</v>
      </c>
      <c r="K37" s="268"/>
      <c r="L37" s="268"/>
      <c r="M37" s="268"/>
      <c r="N37" s="268"/>
      <c r="O37" s="268"/>
      <c r="P37" s="218"/>
      <c r="Q37" s="355" t="s">
        <v>15622</v>
      </c>
      <c r="R37" s="215" t="str">
        <f ca="1">IF(ISERROR($V37),"",OFFSET('Smelter Look-up'!$C$4,$V37-4,0)&amp;"")</f>
        <v>SAXONIA Edelmetalle GmbH</v>
      </c>
      <c r="S37" s="222" t="str">
        <f t="shared" ca="1" si="3"/>
        <v>DE</v>
      </c>
      <c r="T37" s="222" t="str">
        <f ca="1">IF(B37="","",IF(ISERROR(MATCH($J37,SorP!$B$1:$B$6230,0)),"",INDIRECT("'SorP'!$A$"&amp;MATCH($J37,SorP!$B$1:$B$6230,0))))</f>
        <v>DE-SN</v>
      </c>
      <c r="U37" s="238"/>
      <c r="V37" s="270">
        <f>IF(C37="",NA(),MATCH($B37&amp;$C37,'Smelter Look-up'!$J:$J,0))</f>
        <v>226</v>
      </c>
      <c r="W37" s="271"/>
      <c r="X37" s="271">
        <f t="shared" ca="1" si="4"/>
        <v>0</v>
      </c>
      <c r="Y37" s="271"/>
      <c r="Z37" s="271"/>
      <c r="AB37" s="273" t="str">
        <f t="shared" si="5"/>
        <v>GoldSAXONIA Edelmetalle GmbH</v>
      </c>
    </row>
    <row r="38" spans="1:28" s="272" customFormat="1" ht="63.75">
      <c r="A38" s="214"/>
      <c r="B38" s="215" t="s">
        <v>1130</v>
      </c>
      <c r="C38" s="219" t="s">
        <v>2220</v>
      </c>
      <c r="D38" s="278"/>
      <c r="E38" s="215" t="str">
        <f ca="1">IF(ISERROR($V38),"",OFFSET('Smelter Look-up'!$D$4,$V38-4,0)&amp;"")</f>
        <v>GERMANY</v>
      </c>
      <c r="F38" s="215" t="str">
        <f ca="1">IF(ISERROR($V38),"",OFFSET('Smelter Look-up'!$E$4,$V38-4,0))</f>
        <v>CID002778</v>
      </c>
      <c r="G38" s="215" t="str">
        <f ca="1">IF(C38=$X$4,"Enter smelter details",IF(ISERROR($V38),"",OFFSET('Smelter Look-up'!$F$4,$V38-4,0)))</f>
        <v>RMI</v>
      </c>
      <c r="H38" s="216">
        <f ca="1">IF(ISERROR($V38),"",OFFSET('Smelter Look-up'!$G$4,$V38-4,0))</f>
        <v>0</v>
      </c>
      <c r="I38" s="217" t="str">
        <f ca="1">IF(ISERROR($V38),"",OFFSET('Smelter Look-up'!$H$4,$V38-4,0))</f>
        <v>Pforzheim</v>
      </c>
      <c r="J38" s="217" t="str">
        <f ca="1">IF(ISERROR($V38),"",OFFSET('Smelter Look-up'!$I$4,$V38-4,0))</f>
        <v>Baden-Württemberg</v>
      </c>
      <c r="K38" s="268"/>
      <c r="L38" s="268"/>
      <c r="M38" s="268"/>
      <c r="N38" s="268"/>
      <c r="O38" s="268"/>
      <c r="P38" s="218"/>
      <c r="Q38" s="355" t="s">
        <v>15622</v>
      </c>
      <c r="R38" s="215" t="str">
        <f ca="1">IF(ISERROR($V38),"",OFFSET('Smelter Look-up'!$C$4,$V38-4,0)&amp;"")</f>
        <v>WIELAND Edelmetalle GmbH</v>
      </c>
      <c r="S38" s="222" t="str">
        <f t="shared" ref="S38:S68" ca="1" si="6">IF(B38="","",IF(ISERROR(MATCH($E38,CL,0)),"Unknown",INDIRECT("'C'!$A$"&amp;MATCH($E38,CL,0)+1)))</f>
        <v>DE</v>
      </c>
      <c r="T38" s="222" t="str">
        <f ca="1">IF(B38="","",IF(ISERROR(MATCH($J38,SorP!$B$1:$B$6230,0)),"",INDIRECT("'SorP'!$A$"&amp;MATCH($J38,SorP!$B$1:$B$6230,0))))</f>
        <v>DE-BW</v>
      </c>
      <c r="U38" s="238"/>
      <c r="V38" s="270">
        <f>IF(C38="",NA(),MATCH($B38&amp;$C38,'Smelter Look-up'!$J:$J,0))</f>
        <v>292</v>
      </c>
      <c r="W38" s="271"/>
      <c r="X38" s="271">
        <f t="shared" ref="X38:X68" ca="1" si="7">IF(AND(C38="Smelter not listed",OR(LEN(D38)=0,LEN(E38)=0)),1,0)</f>
        <v>0</v>
      </c>
      <c r="Y38" s="271"/>
      <c r="Z38" s="271"/>
      <c r="AB38" s="273" t="str">
        <f t="shared" ref="AB38:AB68" si="8">B38&amp;C38</f>
        <v>GoldWIELAND Edelmetalle GmbH</v>
      </c>
    </row>
    <row r="39" spans="1:28" s="272" customFormat="1" ht="25.5">
      <c r="A39" s="214"/>
      <c r="B39" s="215" t="s">
        <v>1131</v>
      </c>
      <c r="C39" s="219" t="s">
        <v>1034</v>
      </c>
      <c r="D39" s="278"/>
      <c r="E39" s="215" t="str">
        <f ca="1">IF(ISERROR($V39),"",OFFSET('Smelter Look-up'!$D$4,$V39-4,0)&amp;"")</f>
        <v>PERU</v>
      </c>
      <c r="F39" s="215" t="str">
        <f ca="1">IF(ISERROR($V39),"",OFFSET('Smelter Look-up'!$E$4,$V39-4,0))</f>
        <v>CID001182</v>
      </c>
      <c r="G39" s="215" t="str">
        <f ca="1">IF(C39=$X$4,"Enter smelter details",IF(ISERROR($V39),"",OFFSET('Smelter Look-up'!$F$4,$V39-4,0)))</f>
        <v>RMI</v>
      </c>
      <c r="H39" s="216">
        <f ca="1">IF(ISERROR($V39),"",OFFSET('Smelter Look-up'!$G$4,$V39-4,0))</f>
        <v>0</v>
      </c>
      <c r="I39" s="217" t="str">
        <f ca="1">IF(ISERROR($V39),"",OFFSET('Smelter Look-up'!$H$4,$V39-4,0))</f>
        <v>Paracas</v>
      </c>
      <c r="J39" s="217" t="str">
        <f ca="1">IF(ISERROR($V39),"",OFFSET('Smelter Look-up'!$I$4,$V39-4,0))</f>
        <v>Ika</v>
      </c>
      <c r="K39" s="268"/>
      <c r="L39" s="268"/>
      <c r="M39" s="268"/>
      <c r="N39" s="268"/>
      <c r="O39" s="268"/>
      <c r="P39" s="218"/>
      <c r="Q39" s="355" t="s">
        <v>15622</v>
      </c>
      <c r="R39" s="215" t="str">
        <f ca="1">IF(ISERROR($V39),"",OFFSET('Smelter Look-up'!$C$4,$V39-4,0)&amp;"")</f>
        <v>Minsur</v>
      </c>
      <c r="S39" s="222" t="str">
        <f t="shared" ca="1" si="6"/>
        <v>PE</v>
      </c>
      <c r="T39" s="222" t="str">
        <f ca="1">IF(B39="","",IF(ISERROR(MATCH($J39,SorP!$B$1:$B$6230,0)),"",INDIRECT("'SorP'!$A$"&amp;MATCH($J39,SorP!$B$1:$B$6230,0))))</f>
        <v>PE-ICA</v>
      </c>
      <c r="U39" s="238"/>
      <c r="V39" s="270">
        <f>IF(C39="",NA(),MATCH($B39&amp;$C39,'Smelter Look-up'!$J:$J,0))</f>
        <v>460</v>
      </c>
      <c r="W39" s="271"/>
      <c r="X39" s="271">
        <f t="shared" ca="1" si="7"/>
        <v>0</v>
      </c>
      <c r="Y39" s="271"/>
      <c r="Z39" s="271"/>
      <c r="AB39" s="273" t="str">
        <f t="shared" si="8"/>
        <v>TinMinsur</v>
      </c>
    </row>
    <row r="40" spans="1:28" s="272" customFormat="1" ht="63.75">
      <c r="A40" s="214"/>
      <c r="B40" s="215" t="s">
        <v>1131</v>
      </c>
      <c r="C40" s="219" t="s">
        <v>14029</v>
      </c>
      <c r="D40" s="278"/>
      <c r="E40" s="215" t="str">
        <f ca="1">IF(ISERROR($V40),"",OFFSET('Smelter Look-up'!$D$4,$V40-4,0)&amp;"")</f>
        <v>BOLIVIA (PLURINATIONAL STATE OF)</v>
      </c>
      <c r="F40" s="215" t="str">
        <f ca="1">IF(ISERROR($V40),"",OFFSET('Smelter Look-up'!$E$4,$V40-4,0))</f>
        <v>CID001337</v>
      </c>
      <c r="G40" s="215" t="str">
        <f ca="1">IF(C40=$X$4,"Enter smelter details",IF(ISERROR($V40),"",OFFSET('Smelter Look-up'!$F$4,$V40-4,0)))</f>
        <v>RMI</v>
      </c>
      <c r="H40" s="216">
        <f ca="1">IF(ISERROR($V40),"",OFFSET('Smelter Look-up'!$G$4,$V40-4,0))</f>
        <v>0</v>
      </c>
      <c r="I40" s="217" t="str">
        <f ca="1">IF(ISERROR($V40),"",OFFSET('Smelter Look-up'!$H$4,$V40-4,0))</f>
        <v>Oruro</v>
      </c>
      <c r="J40" s="217" t="str">
        <f ca="1">IF(ISERROR($V40),"",OFFSET('Smelter Look-up'!$I$4,$V40-4,0))</f>
        <v>Oruro</v>
      </c>
      <c r="K40" s="268"/>
      <c r="L40" s="268"/>
      <c r="M40" s="268"/>
      <c r="N40" s="268"/>
      <c r="O40" s="268"/>
      <c r="P40" s="218"/>
      <c r="Q40" s="355" t="s">
        <v>15622</v>
      </c>
      <c r="R40" s="215" t="str">
        <f ca="1">IF(ISERROR($V40),"",OFFSET('Smelter Look-up'!$C$4,$V40-4,0)&amp;"")</f>
        <v>Operaciones Metalurgicas S.A.</v>
      </c>
      <c r="S40" s="222" t="str">
        <f t="shared" ca="1" si="6"/>
        <v>BO</v>
      </c>
      <c r="T40" s="222" t="str">
        <f ca="1">IF(B40="","",IF(ISERROR(MATCH($J40,SorP!$B$1:$B$6230,0)),"",INDIRECT("'SorP'!$A$"&amp;MATCH($J40,SorP!$B$1:$B$6230,0))))</f>
        <v>BO-O</v>
      </c>
      <c r="U40" s="238"/>
      <c r="V40" s="270">
        <f>IF(C40="",NA(),MATCH($B40&amp;$C40,'Smelter Look-up'!$J:$J,0))</f>
        <v>471</v>
      </c>
      <c r="W40" s="271"/>
      <c r="X40" s="271">
        <f t="shared" ca="1" si="7"/>
        <v>0</v>
      </c>
      <c r="Y40" s="271"/>
      <c r="Z40" s="271"/>
      <c r="AB40" s="273" t="str">
        <f t="shared" si="8"/>
        <v>TinOperaciones Metalurgicas S.A.</v>
      </c>
    </row>
    <row r="41" spans="1:28" s="272" customFormat="1" ht="51">
      <c r="A41" s="214"/>
      <c r="B41" s="215" t="s">
        <v>1131</v>
      </c>
      <c r="C41" s="219" t="s">
        <v>2173</v>
      </c>
      <c r="D41" s="278"/>
      <c r="E41" s="215" t="str">
        <f ca="1">IF(ISERROR($V41),"",OFFSET('Smelter Look-up'!$D$4,$V41-4,0)&amp;"")</f>
        <v>INDONESIA</v>
      </c>
      <c r="F41" s="215" t="str">
        <f ca="1">IF(ISERROR($V41),"",OFFSET('Smelter Look-up'!$E$4,$V41-4,0))</f>
        <v>CID001460</v>
      </c>
      <c r="G41" s="215" t="str">
        <f ca="1">IF(C41=$X$4,"Enter smelter details",IF(ISERROR($V41),"",OFFSET('Smelter Look-up'!$F$4,$V41-4,0)))</f>
        <v>RMI</v>
      </c>
      <c r="H41" s="216">
        <f ca="1">IF(ISERROR($V41),"",OFFSET('Smelter Look-up'!$G$4,$V41-4,0))</f>
        <v>0</v>
      </c>
      <c r="I41" s="217" t="str">
        <f ca="1">IF(ISERROR($V41),"",OFFSET('Smelter Look-up'!$H$4,$V41-4,0))</f>
        <v>Sungailiat</v>
      </c>
      <c r="J41" s="217" t="str">
        <f ca="1">IF(ISERROR($V41),"",OFFSET('Smelter Look-up'!$I$4,$V41-4,0))</f>
        <v>Kepulauan Bangka Belitung</v>
      </c>
      <c r="K41" s="268"/>
      <c r="L41" s="268"/>
      <c r="M41" s="268"/>
      <c r="N41" s="268"/>
      <c r="O41" s="268"/>
      <c r="P41" s="218"/>
      <c r="Q41" s="355" t="s">
        <v>15622</v>
      </c>
      <c r="R41" s="215" t="str">
        <f ca="1">IF(ISERROR($V41),"",OFFSET('Smelter Look-up'!$C$4,$V41-4,0)&amp;"")</f>
        <v>PT Refined Bangka Tin</v>
      </c>
      <c r="S41" s="222" t="str">
        <f t="shared" ca="1" si="6"/>
        <v>ID</v>
      </c>
      <c r="T41" s="222" t="str">
        <f ca="1">IF(B41="","",IF(ISERROR(MATCH($J41,SorP!$B$1:$B$6230,0)),"",INDIRECT("'SorP'!$A$"&amp;MATCH($J41,SorP!$B$1:$B$6230,0))))</f>
        <v>ID-BB</v>
      </c>
      <c r="U41" s="238"/>
      <c r="V41" s="270">
        <f>IF(C41="",NA(),MATCH($B41&amp;$C41,'Smelter Look-up'!$J:$J,0))</f>
        <v>487</v>
      </c>
      <c r="W41" s="271"/>
      <c r="X41" s="271">
        <f t="shared" ca="1" si="7"/>
        <v>0</v>
      </c>
      <c r="Y41" s="271"/>
      <c r="Z41" s="271"/>
      <c r="AB41" s="273" t="str">
        <f t="shared" si="8"/>
        <v>TinPT Refined Bangka Tin</v>
      </c>
    </row>
    <row r="42" spans="1:28" s="272" customFormat="1" ht="38.25">
      <c r="A42" s="214"/>
      <c r="B42" s="215" t="s">
        <v>1131</v>
      </c>
      <c r="C42" s="219" t="s">
        <v>842</v>
      </c>
      <c r="D42" s="278"/>
      <c r="E42" s="215" t="str">
        <f ca="1">IF(ISERROR($V42),"",OFFSET('Smelter Look-up'!$D$4,$V42-4,0)&amp;"")</f>
        <v>BOLIVIA (PLURINATIONAL STATE OF)</v>
      </c>
      <c r="F42" s="215" t="str">
        <f ca="1">IF(ISERROR($V42),"",OFFSET('Smelter Look-up'!$E$4,$V42-4,0))</f>
        <v>CID000438</v>
      </c>
      <c r="G42" s="215" t="str">
        <f ca="1">IF(C42=$X$4,"Enter smelter details",IF(ISERROR($V42),"",OFFSET('Smelter Look-up'!$F$4,$V42-4,0)))</f>
        <v>RMI</v>
      </c>
      <c r="H42" s="216">
        <f ca="1">IF(ISERROR($V42),"",OFFSET('Smelter Look-up'!$G$4,$V42-4,0))</f>
        <v>0</v>
      </c>
      <c r="I42" s="217" t="str">
        <f ca="1">IF(ISERROR($V42),"",OFFSET('Smelter Look-up'!$H$4,$V42-4,0))</f>
        <v>Oruro</v>
      </c>
      <c r="J42" s="217" t="str">
        <f ca="1">IF(ISERROR($V42),"",OFFSET('Smelter Look-up'!$I$4,$V42-4,0))</f>
        <v>Oruro</v>
      </c>
      <c r="K42" s="268"/>
      <c r="L42" s="268"/>
      <c r="M42" s="268"/>
      <c r="N42" s="268"/>
      <c r="O42" s="268"/>
      <c r="P42" s="218"/>
      <c r="Q42" s="355" t="s">
        <v>15622</v>
      </c>
      <c r="R42" s="215" t="str">
        <f ca="1">IF(ISERROR($V42),"",OFFSET('Smelter Look-up'!$C$4,$V42-4,0)&amp;"")</f>
        <v>EM Vinto</v>
      </c>
      <c r="S42" s="222" t="str">
        <f t="shared" ca="1" si="6"/>
        <v>BO</v>
      </c>
      <c r="T42" s="222" t="str">
        <f ca="1">IF(B42="","",IF(ISERROR(MATCH($J42,SorP!$B$1:$B$6230,0)),"",INDIRECT("'SorP'!$A$"&amp;MATCH($J42,SorP!$B$1:$B$6230,0))))</f>
        <v>BO-O</v>
      </c>
      <c r="U42" s="238"/>
      <c r="V42" s="270">
        <f>IF(C42="",NA(),MATCH($B42&amp;$C42,'Smelter Look-up'!$J:$J,0))</f>
        <v>412</v>
      </c>
      <c r="W42" s="271"/>
      <c r="X42" s="271">
        <f t="shared" ca="1" si="7"/>
        <v>0</v>
      </c>
      <c r="Y42" s="271"/>
      <c r="Z42" s="271"/>
      <c r="AB42" s="273" t="str">
        <f t="shared" si="8"/>
        <v>TinEM Vinto</v>
      </c>
    </row>
    <row r="43" spans="1:28" s="272" customFormat="1" ht="89.25">
      <c r="A43" s="214"/>
      <c r="B43" s="215" t="s">
        <v>1131</v>
      </c>
      <c r="C43" s="219" t="s">
        <v>2566</v>
      </c>
      <c r="D43" s="278"/>
      <c r="E43" s="215" t="str">
        <f ca="1">IF(ISERROR($V43),"",OFFSET('Smelter Look-up'!$D$4,$V43-4,0)&amp;"")</f>
        <v>BRAZIL</v>
      </c>
      <c r="F43" s="215" t="str">
        <f ca="1">IF(ISERROR($V43),"",OFFSET('Smelter Look-up'!$E$4,$V43-4,0))</f>
        <v>CID002036</v>
      </c>
      <c r="G43" s="215" t="str">
        <f ca="1">IF(C43=$X$4,"Enter smelter details",IF(ISERROR($V43),"",OFFSET('Smelter Look-up'!$F$4,$V43-4,0)))</f>
        <v>RMI</v>
      </c>
      <c r="H43" s="216">
        <f ca="1">IF(ISERROR($V43),"",OFFSET('Smelter Look-up'!$G$4,$V43-4,0))</f>
        <v>0</v>
      </c>
      <c r="I43" s="217" t="str">
        <f ca="1">IF(ISERROR($V43),"",OFFSET('Smelter Look-up'!$H$4,$V43-4,0))</f>
        <v>Ariquemes</v>
      </c>
      <c r="J43" s="217" t="str">
        <f ca="1">IF(ISERROR($V43),"",OFFSET('Smelter Look-up'!$I$4,$V43-4,0))</f>
        <v>Rondônia</v>
      </c>
      <c r="K43" s="268"/>
      <c r="L43" s="268"/>
      <c r="M43" s="268"/>
      <c r="N43" s="268"/>
      <c r="O43" s="268"/>
      <c r="P43" s="218"/>
      <c r="Q43" s="355" t="s">
        <v>15622</v>
      </c>
      <c r="R43" s="215" t="str">
        <f ca="1">IF(ISERROR($V43),"",OFFSET('Smelter Look-up'!$C$4,$V43-4,0)&amp;"")</f>
        <v>White Solder Metalurgia e Mineracao Ltda.</v>
      </c>
      <c r="S43" s="222" t="str">
        <f t="shared" ca="1" si="6"/>
        <v>BR</v>
      </c>
      <c r="T43" s="222" t="str">
        <f ca="1">IF(B43="","",IF(ISERROR(MATCH($J43,SorP!$B$1:$B$6230,0)),"",INDIRECT("'SorP'!$A$"&amp;MATCH($J43,SorP!$B$1:$B$6230,0))))</f>
        <v>BR-RO</v>
      </c>
      <c r="U43" s="238"/>
      <c r="V43" s="270">
        <f>IF(C43="",NA(),MATCH($B43&amp;$C43,'Smelter Look-up'!$J:$J,0))</f>
        <v>512</v>
      </c>
      <c r="W43" s="271"/>
      <c r="X43" s="271">
        <f t="shared" ca="1" si="7"/>
        <v>0</v>
      </c>
      <c r="Y43" s="271"/>
      <c r="Z43" s="271"/>
      <c r="AB43" s="273" t="str">
        <f t="shared" si="8"/>
        <v>TinWhite Solder Metalurgia e Mineracao Ltda.</v>
      </c>
    </row>
    <row r="44" spans="1:28" s="272" customFormat="1" ht="51">
      <c r="A44" s="214"/>
      <c r="B44" s="215" t="s">
        <v>1131</v>
      </c>
      <c r="C44" s="219" t="s">
        <v>14026</v>
      </c>
      <c r="D44" s="278"/>
      <c r="E44" s="215" t="str">
        <f ca="1">IF(ISERROR($V44),"",OFFSET('Smelter Look-up'!$D$4,$V44-4,0)&amp;"")</f>
        <v>INDONESIA</v>
      </c>
      <c r="F44" s="215" t="str">
        <f ca="1">IF(ISERROR($V44),"",OFFSET('Smelter Look-up'!$E$4,$V44-4,0))</f>
        <v>CID001477</v>
      </c>
      <c r="G44" s="215" t="str">
        <f ca="1">IF(C44=$X$4,"Enter smelter details",IF(ISERROR($V44),"",OFFSET('Smelter Look-up'!$F$4,$V44-4,0)))</f>
        <v>RMI</v>
      </c>
      <c r="H44" s="216">
        <f ca="1">IF(ISERROR($V44),"",OFFSET('Smelter Look-up'!$G$4,$V44-4,0))</f>
        <v>0</v>
      </c>
      <c r="I44" s="217" t="str">
        <f ca="1">IF(ISERROR($V44),"",OFFSET('Smelter Look-up'!$H$4,$V44-4,0))</f>
        <v>Kundur</v>
      </c>
      <c r="J44" s="217" t="str">
        <f ca="1">IF(ISERROR($V44),"",OFFSET('Smelter Look-up'!$I$4,$V44-4,0))</f>
        <v>Riau</v>
      </c>
      <c r="K44" s="268"/>
      <c r="L44" s="268"/>
      <c r="M44" s="268"/>
      <c r="N44" s="268"/>
      <c r="O44" s="268"/>
      <c r="P44" s="218"/>
      <c r="Q44" s="355" t="s">
        <v>15622</v>
      </c>
      <c r="R44" s="215" t="str">
        <f ca="1">IF(ISERROR($V44),"",OFFSET('Smelter Look-up'!$C$4,$V44-4,0)&amp;"")</f>
        <v>PT Timah Tbk Kundur</v>
      </c>
      <c r="S44" s="222" t="str">
        <f t="shared" ca="1" si="6"/>
        <v>ID</v>
      </c>
      <c r="T44" s="222" t="str">
        <f ca="1">IF(B44="","",IF(ISERROR(MATCH($J44,SorP!$B$1:$B$6230,0)),"",INDIRECT("'SorP'!$A$"&amp;MATCH($J44,SorP!$B$1:$B$6230,0))))</f>
        <v>ID-RI</v>
      </c>
      <c r="U44" s="238"/>
      <c r="V44" s="270">
        <f>IF(C44="",NA(),MATCH($B44&amp;$C44,'Smelter Look-up'!$J:$J,0))</f>
        <v>491</v>
      </c>
      <c r="W44" s="271"/>
      <c r="X44" s="271">
        <f t="shared" ca="1" si="7"/>
        <v>0</v>
      </c>
      <c r="Y44" s="271"/>
      <c r="Z44" s="271"/>
      <c r="AB44" s="273" t="str">
        <f t="shared" si="8"/>
        <v>TinPT Timah Tbk Kundur</v>
      </c>
    </row>
    <row r="45" spans="1:28" s="272" customFormat="1" ht="51">
      <c r="A45" s="214"/>
      <c r="B45" s="215" t="s">
        <v>1131</v>
      </c>
      <c r="C45" s="219" t="s">
        <v>14025</v>
      </c>
      <c r="D45" s="278"/>
      <c r="E45" s="215" t="str">
        <f ca="1">IF(ISERROR($V45),"",OFFSET('Smelter Look-up'!$D$4,$V45-4,0)&amp;"")</f>
        <v>INDONESIA</v>
      </c>
      <c r="F45" s="215" t="str">
        <f ca="1">IF(ISERROR($V45),"",OFFSET('Smelter Look-up'!$E$4,$V45-4,0))</f>
        <v>CID001482</v>
      </c>
      <c r="G45" s="215" t="str">
        <f ca="1">IF(C45=$X$4,"Enter smelter details",IF(ISERROR($V45),"",OFFSET('Smelter Look-up'!$F$4,$V45-4,0)))</f>
        <v>RMI</v>
      </c>
      <c r="H45" s="216">
        <f ca="1">IF(ISERROR($V45),"",OFFSET('Smelter Look-up'!$G$4,$V45-4,0))</f>
        <v>0</v>
      </c>
      <c r="I45" s="217" t="str">
        <f ca="1">IF(ISERROR($V45),"",OFFSET('Smelter Look-up'!$H$4,$V45-4,0))</f>
        <v>Mentok</v>
      </c>
      <c r="J45" s="217" t="str">
        <f ca="1">IF(ISERROR($V45),"",OFFSET('Smelter Look-up'!$I$4,$V45-4,0))</f>
        <v>Kepulauan Bangka Belitung</v>
      </c>
      <c r="K45" s="268"/>
      <c r="L45" s="268"/>
      <c r="M45" s="268"/>
      <c r="N45" s="268"/>
      <c r="O45" s="268"/>
      <c r="P45" s="218"/>
      <c r="Q45" s="355" t="s">
        <v>15622</v>
      </c>
      <c r="R45" s="215" t="str">
        <f ca="1">IF(ISERROR($V45),"",OFFSET('Smelter Look-up'!$C$4,$V45-4,0)&amp;"")</f>
        <v>PT Timah Tbk Mentok</v>
      </c>
      <c r="S45" s="222" t="str">
        <f t="shared" ca="1" si="6"/>
        <v>ID</v>
      </c>
      <c r="T45" s="222" t="str">
        <f ca="1">IF(B45="","",IF(ISERROR(MATCH($J45,SorP!$B$1:$B$6230,0)),"",INDIRECT("'SorP'!$A$"&amp;MATCH($J45,SorP!$B$1:$B$6230,0))))</f>
        <v>ID-BB</v>
      </c>
      <c r="U45" s="238"/>
      <c r="V45" s="270">
        <f>IF(C45="",NA(),MATCH($B45&amp;$C45,'Smelter Look-up'!$J:$J,0))</f>
        <v>492</v>
      </c>
      <c r="W45" s="271"/>
      <c r="X45" s="271">
        <f t="shared" ca="1" si="7"/>
        <v>0</v>
      </c>
      <c r="Y45" s="271"/>
      <c r="Z45" s="271"/>
      <c r="AB45" s="273" t="str">
        <f t="shared" si="8"/>
        <v>TinPT Timah Tbk Mentok</v>
      </c>
    </row>
    <row r="46" spans="1:28" s="272" customFormat="1" ht="89.25">
      <c r="A46" s="214"/>
      <c r="B46" s="215" t="s">
        <v>1131</v>
      </c>
      <c r="C46" s="219" t="s">
        <v>821</v>
      </c>
      <c r="D46" s="278"/>
      <c r="E46" s="215" t="str">
        <f ca="1">IF(ISERROR($V46),"",OFFSET('Smelter Look-up'!$D$4,$V46-4,0)&amp;"")</f>
        <v>MALAYSIA</v>
      </c>
      <c r="F46" s="215" t="str">
        <f ca="1">IF(ISERROR($V46),"",OFFSET('Smelter Look-up'!$E$4,$V46-4,0))</f>
        <v>CID001105</v>
      </c>
      <c r="G46" s="215" t="str">
        <f ca="1">IF(C46=$X$4,"Enter smelter details",IF(ISERROR($V46),"",OFFSET('Smelter Look-up'!$F$4,$V46-4,0)))</f>
        <v>RMI</v>
      </c>
      <c r="H46" s="216">
        <f ca="1">IF(ISERROR($V46),"",OFFSET('Smelter Look-up'!$G$4,$V46-4,0))</f>
        <v>0</v>
      </c>
      <c r="I46" s="217" t="str">
        <f ca="1">IF(ISERROR($V46),"",OFFSET('Smelter Look-up'!$H$4,$V46-4,0))</f>
        <v>Butterworth</v>
      </c>
      <c r="J46" s="217" t="str">
        <f ca="1">IF(ISERROR($V46),"",OFFSET('Smelter Look-up'!$I$4,$V46-4,0))</f>
        <v>Pulau Pinang</v>
      </c>
      <c r="K46" s="268"/>
      <c r="L46" s="268"/>
      <c r="M46" s="268"/>
      <c r="N46" s="268"/>
      <c r="O46" s="268"/>
      <c r="P46" s="218"/>
      <c r="Q46" s="355" t="s">
        <v>15622</v>
      </c>
      <c r="R46" s="215" t="str">
        <f ca="1">IF(ISERROR($V46),"",OFFSET('Smelter Look-up'!$C$4,$V46-4,0)&amp;"")</f>
        <v>Malaysia Smelting Corporation (MSC)</v>
      </c>
      <c r="S46" s="222" t="str">
        <f t="shared" ca="1" si="6"/>
        <v>MY</v>
      </c>
      <c r="T46" s="222" t="str">
        <f ca="1">IF(B46="","",IF(ISERROR(MATCH($J46,SorP!$B$1:$B$6230,0)),"",INDIRECT("'SorP'!$A$"&amp;MATCH($J46,SorP!$B$1:$B$6230,0))))</f>
        <v>MY-07</v>
      </c>
      <c r="U46" s="238"/>
      <c r="V46" s="270">
        <f>IF(C46="",NA(),MATCH($B46&amp;$C46,'Smelter Look-up'!$J:$J,0))</f>
        <v>449</v>
      </c>
      <c r="W46" s="271"/>
      <c r="X46" s="271">
        <f t="shared" ca="1" si="7"/>
        <v>0</v>
      </c>
      <c r="Y46" s="271"/>
      <c r="Z46" s="271"/>
      <c r="AB46" s="273" t="str">
        <f t="shared" si="8"/>
        <v>TinMalaysia Smelting Corporation (MSC)</v>
      </c>
    </row>
    <row r="47" spans="1:28" s="272" customFormat="1" ht="63.75">
      <c r="A47" s="214"/>
      <c r="B47" s="215" t="s">
        <v>1131</v>
      </c>
      <c r="C47" s="219" t="s">
        <v>2370</v>
      </c>
      <c r="D47" s="278"/>
      <c r="E47" s="215" t="str">
        <f ca="1">IF(ISERROR($V47),"",OFFSET('Smelter Look-up'!$D$4,$V47-4,0)&amp;"")</f>
        <v>CHINA</v>
      </c>
      <c r="F47" s="215" t="str">
        <f ca="1">IF(ISERROR($V47),"",OFFSET('Smelter Look-up'!$E$4,$V47-4,0))</f>
        <v>CID002180</v>
      </c>
      <c r="G47" s="215" t="str">
        <f ca="1">IF(C47=$X$4,"Enter smelter details",IF(ISERROR($V47),"",OFFSET('Smelter Look-up'!$F$4,$V47-4,0)))</f>
        <v>RMI</v>
      </c>
      <c r="H47" s="216">
        <f ca="1">IF(ISERROR($V47),"",OFFSET('Smelter Look-up'!$G$4,$V47-4,0))</f>
        <v>0</v>
      </c>
      <c r="I47" s="217" t="str">
        <f ca="1">IF(ISERROR($V47),"",OFFSET('Smelter Look-up'!$H$4,$V47-4,0))</f>
        <v>Gejiu</v>
      </c>
      <c r="J47" s="217" t="str">
        <f ca="1">IF(ISERROR($V47),"",OFFSET('Smelter Look-up'!$I$4,$V47-4,0))</f>
        <v>Yunnan Sheng</v>
      </c>
      <c r="K47" s="268"/>
      <c r="L47" s="268"/>
      <c r="M47" s="268"/>
      <c r="N47" s="268"/>
      <c r="O47" s="268"/>
      <c r="P47" s="218"/>
      <c r="Q47" s="355" t="s">
        <v>15622</v>
      </c>
      <c r="R47" s="215" t="str">
        <f ca="1">IF(ISERROR($V47),"",OFFSET('Smelter Look-up'!$C$4,$V47-4,0)&amp;"")</f>
        <v>Yunnan Tin Company Limited</v>
      </c>
      <c r="S47" s="222" t="str">
        <f t="shared" ca="1" si="6"/>
        <v>CN</v>
      </c>
      <c r="T47" s="222" t="str">
        <f ca="1">IF(B47="","",IF(ISERROR(MATCH($J47,SorP!$B$1:$B$6230,0)),"",INDIRECT("'SorP'!$A$"&amp;MATCH($J47,SorP!$B$1:$B$6230,0))))</f>
        <v>CN-YN</v>
      </c>
      <c r="U47" s="238"/>
      <c r="V47" s="270">
        <f>IF(C47="",NA(),MATCH($B47&amp;$C47,'Smelter Look-up'!$J:$J,0))</f>
        <v>524</v>
      </c>
      <c r="W47" s="271"/>
      <c r="X47" s="271">
        <f t="shared" ca="1" si="7"/>
        <v>0</v>
      </c>
      <c r="Y47" s="271"/>
      <c r="Z47" s="271"/>
      <c r="AB47" s="273" t="str">
        <f t="shared" si="8"/>
        <v>TinYunnan Tin Company Limited</v>
      </c>
    </row>
    <row r="48" spans="1:28" s="272" customFormat="1" ht="51">
      <c r="A48" s="214"/>
      <c r="B48" s="215" t="s">
        <v>1131</v>
      </c>
      <c r="C48" s="219" t="s">
        <v>13149</v>
      </c>
      <c r="D48" s="278"/>
      <c r="E48" s="215" t="str">
        <f ca="1">IF(ISERROR($V48),"",OFFSET('Smelter Look-up'!$D$4,$V48-4,0)&amp;"")</f>
        <v>BELGIUM</v>
      </c>
      <c r="F48" s="215" t="str">
        <f ca="1">IF(ISERROR($V48),"",OFFSET('Smelter Look-up'!$E$4,$V48-4,0))</f>
        <v>CID002773</v>
      </c>
      <c r="G48" s="215" t="str">
        <f ca="1">IF(C48=$X$4,"Enter smelter details",IF(ISERROR($V48),"",OFFSET('Smelter Look-up'!$F$4,$V48-4,0)))</f>
        <v>RMI</v>
      </c>
      <c r="H48" s="216">
        <f ca="1">IF(ISERROR($V48),"",OFFSET('Smelter Look-up'!$G$4,$V48-4,0))</f>
        <v>0</v>
      </c>
      <c r="I48" s="217" t="str">
        <f ca="1">IF(ISERROR($V48),"",OFFSET('Smelter Look-up'!$H$4,$V48-4,0))</f>
        <v>Beerse</v>
      </c>
      <c r="J48" s="217" t="str">
        <f ca="1">IF(ISERROR($V48),"",OFFSET('Smelter Look-up'!$I$4,$V48-4,0))</f>
        <v>Antwerpen</v>
      </c>
      <c r="K48" s="268"/>
      <c r="L48" s="268"/>
      <c r="M48" s="268"/>
      <c r="N48" s="268"/>
      <c r="O48" s="268"/>
      <c r="P48" s="218"/>
      <c r="Q48" s="355" t="s">
        <v>15622</v>
      </c>
      <c r="R48" s="215" t="str">
        <f ca="1">IF(ISERROR($V48),"",OFFSET('Smelter Look-up'!$C$4,$V48-4,0)&amp;"")</f>
        <v>Metallo Belgium N.V.</v>
      </c>
      <c r="S48" s="222" t="str">
        <f t="shared" ca="1" si="6"/>
        <v>BE</v>
      </c>
      <c r="T48" s="222" t="str">
        <f ca="1">IF(B48="","",IF(ISERROR(MATCH($J48,SorP!$B$1:$B$6230,0)),"",INDIRECT("'SorP'!$A$"&amp;MATCH($J48,SorP!$B$1:$B$6230,0))))</f>
        <v>BE-VAN</v>
      </c>
      <c r="U48" s="238"/>
      <c r="V48" s="270">
        <f>IF(C48="",NA(),MATCH($B48&amp;$C48,'Smelter Look-up'!$J:$J,0))</f>
        <v>454</v>
      </c>
      <c r="W48" s="271"/>
      <c r="X48" s="271">
        <f t="shared" ca="1" si="7"/>
        <v>0</v>
      </c>
      <c r="Y48" s="271"/>
      <c r="Z48" s="271"/>
      <c r="AB48" s="273" t="str">
        <f t="shared" si="8"/>
        <v>TinMetallo Belgium N.V.</v>
      </c>
    </row>
    <row r="49" spans="1:28" s="272" customFormat="1" ht="51">
      <c r="A49" s="214"/>
      <c r="B49" s="215" t="s">
        <v>1131</v>
      </c>
      <c r="C49" s="219" t="s">
        <v>627</v>
      </c>
      <c r="D49" s="278"/>
      <c r="E49" s="215" t="str">
        <f ca="1">IF(ISERROR($V49),"",OFFSET('Smelter Look-up'!$D$4,$V49-4,0)&amp;"")</f>
        <v>INDONESIA</v>
      </c>
      <c r="F49" s="215" t="str">
        <f ca="1">IF(ISERROR($V49),"",OFFSET('Smelter Look-up'!$E$4,$V49-4,0))</f>
        <v>CID001453</v>
      </c>
      <c r="G49" s="215" t="str">
        <f ca="1">IF(C49=$X$4,"Enter smelter details",IF(ISERROR($V49),"",OFFSET('Smelter Look-up'!$F$4,$V49-4,0)))</f>
        <v>RMI</v>
      </c>
      <c r="H49" s="216">
        <f ca="1">IF(ISERROR($V49),"",OFFSET('Smelter Look-up'!$G$4,$V49-4,0))</f>
        <v>0</v>
      </c>
      <c r="I49" s="217" t="str">
        <f ca="1">IF(ISERROR($V49),"",OFFSET('Smelter Look-up'!$H$4,$V49-4,0))</f>
        <v>Sungailiat</v>
      </c>
      <c r="J49" s="217" t="str">
        <f ca="1">IF(ISERROR($V49),"",OFFSET('Smelter Look-up'!$I$4,$V49-4,0))</f>
        <v>Kepulauan Bangka Belitung</v>
      </c>
      <c r="K49" s="268"/>
      <c r="L49" s="268"/>
      <c r="M49" s="268"/>
      <c r="N49" s="268"/>
      <c r="O49" s="268"/>
      <c r="P49" s="218"/>
      <c r="Q49" s="355" t="s">
        <v>15622</v>
      </c>
      <c r="R49" s="215" t="str">
        <f ca="1">IF(ISERROR($V49),"",OFFSET('Smelter Look-up'!$C$4,$V49-4,0)&amp;"")</f>
        <v>PT Mitra Stania Prima</v>
      </c>
      <c r="S49" s="222" t="str">
        <f t="shared" ca="1" si="6"/>
        <v>ID</v>
      </c>
      <c r="T49" s="222" t="str">
        <f ca="1">IF(B49="","",IF(ISERROR(MATCH($J49,SorP!$B$1:$B$6230,0)),"",INDIRECT("'SorP'!$A$"&amp;MATCH($J49,SorP!$B$1:$B$6230,0))))</f>
        <v>ID-BB</v>
      </c>
      <c r="U49" s="238"/>
      <c r="V49" s="270">
        <f>IF(C49="",NA(),MATCH($B49&amp;$C49,'Smelter Look-up'!$J:$J,0))</f>
        <v>482</v>
      </c>
      <c r="W49" s="271"/>
      <c r="X49" s="271">
        <f t="shared" ca="1" si="7"/>
        <v>0</v>
      </c>
      <c r="Y49" s="271"/>
      <c r="Z49" s="271"/>
      <c r="AB49" s="273" t="str">
        <f t="shared" si="8"/>
        <v>TinPT Mitra Stania Prima</v>
      </c>
    </row>
    <row r="50" spans="1:28" s="272" customFormat="1" ht="51">
      <c r="A50" s="214"/>
      <c r="B50" s="215" t="s">
        <v>1131</v>
      </c>
      <c r="C50" s="219" t="s">
        <v>15401</v>
      </c>
      <c r="D50" s="278"/>
      <c r="E50" s="215" t="str">
        <f ca="1">IF(ISERROR($V50),"",OFFSET('Smelter Look-up'!$D$4,$V50-4,0)&amp;"")</f>
        <v>INDONESIA</v>
      </c>
      <c r="F50" s="215" t="str">
        <f ca="1">IF(ISERROR($V50),"",OFFSET('Smelter Look-up'!$E$4,$V50-4,0))</f>
        <v>CID001458</v>
      </c>
      <c r="G50" s="215" t="str">
        <f ca="1">IF(C50=$X$4,"Enter smelter details",IF(ISERROR($V50),"",OFFSET('Smelter Look-up'!$F$4,$V50-4,0)))</f>
        <v>RMI</v>
      </c>
      <c r="H50" s="216">
        <f ca="1">IF(ISERROR($V50),"",OFFSET('Smelter Look-up'!$G$4,$V50-4,0))</f>
        <v>0</v>
      </c>
      <c r="I50" s="217" t="str">
        <f ca="1">IF(ISERROR($V50),"",OFFSET('Smelter Look-up'!$H$4,$V50-4,0))</f>
        <v>Pangkal Pinang</v>
      </c>
      <c r="J50" s="217" t="str">
        <f ca="1">IF(ISERROR($V50),"",OFFSET('Smelter Look-up'!$I$4,$V50-4,0))</f>
        <v>Kepulauan Bangka Belitung</v>
      </c>
      <c r="K50" s="268"/>
      <c r="L50" s="268"/>
      <c r="M50" s="268"/>
      <c r="N50" s="268"/>
      <c r="O50" s="268"/>
      <c r="P50" s="218"/>
      <c r="Q50" s="355" t="s">
        <v>15622</v>
      </c>
      <c r="R50" s="215" t="str">
        <f ca="1">IF(ISERROR($V50),"",OFFSET('Smelter Look-up'!$C$4,$V50-4,0)&amp;"")</f>
        <v>PT Prima Timah Utama</v>
      </c>
      <c r="S50" s="222" t="str">
        <f t="shared" ca="1" si="6"/>
        <v>ID</v>
      </c>
      <c r="T50" s="222" t="str">
        <f ca="1">IF(B50="","",IF(ISERROR(MATCH($J50,SorP!$B$1:$B$6230,0)),"",INDIRECT("'SorP'!$A$"&amp;MATCH($J50,SorP!$B$1:$B$6230,0))))</f>
        <v>ID-BB</v>
      </c>
      <c r="U50" s="238"/>
      <c r="V50" s="270">
        <f>IF(C50="",NA(),MATCH($B50&amp;$C50,'Smelter Look-up'!$J:$J,0))</f>
        <v>484</v>
      </c>
      <c r="W50" s="271"/>
      <c r="X50" s="271">
        <f t="shared" ca="1" si="7"/>
        <v>0</v>
      </c>
      <c r="Y50" s="271"/>
      <c r="Z50" s="271"/>
      <c r="AB50" s="273" t="str">
        <f t="shared" si="8"/>
        <v>TinPT Prima Timah Utama</v>
      </c>
    </row>
    <row r="51" spans="1:28" s="272" customFormat="1" ht="51">
      <c r="A51" s="214"/>
      <c r="B51" s="215" t="s">
        <v>1131</v>
      </c>
      <c r="C51" s="219" t="s">
        <v>15399</v>
      </c>
      <c r="D51" s="278"/>
      <c r="E51" s="215" t="str">
        <f ca="1">IF(ISERROR($V51),"",OFFSET('Smelter Look-up'!$D$4,$V51-4,0)&amp;"")</f>
        <v>INDONESIA</v>
      </c>
      <c r="F51" s="215" t="str">
        <f ca="1">IF(ISERROR($V51),"",OFFSET('Smelter Look-up'!$E$4,$V51-4,0))</f>
        <v>CID002835</v>
      </c>
      <c r="G51" s="215" t="str">
        <f ca="1">IF(C51=$X$4,"Enter smelter details",IF(ISERROR($V51),"",OFFSET('Smelter Look-up'!$F$4,$V51-4,0)))</f>
        <v>RMI</v>
      </c>
      <c r="H51" s="216">
        <f ca="1">IF(ISERROR($V51),"",OFFSET('Smelter Look-up'!$G$4,$V51-4,0))</f>
        <v>0</v>
      </c>
      <c r="I51" s="217" t="str">
        <f ca="1">IF(ISERROR($V51),"",OFFSET('Smelter Look-up'!$H$4,$V51-4,0))</f>
        <v>Mentawak</v>
      </c>
      <c r="J51" s="217" t="str">
        <f ca="1">IF(ISERROR($V51),"",OFFSET('Smelter Look-up'!$I$4,$V51-4,0))</f>
        <v>Kepulauan Bangka Belitung</v>
      </c>
      <c r="K51" s="268"/>
      <c r="L51" s="268"/>
      <c r="M51" s="268"/>
      <c r="N51" s="268"/>
      <c r="O51" s="268"/>
      <c r="P51" s="218"/>
      <c r="Q51" s="355" t="s">
        <v>15622</v>
      </c>
      <c r="R51" s="215" t="str">
        <f ca="1">IF(ISERROR($V51),"",OFFSET('Smelter Look-up'!$C$4,$V51-4,0)&amp;"")</f>
        <v>PT Menara Cipta Mulia</v>
      </c>
      <c r="S51" s="222" t="str">
        <f t="shared" ca="1" si="6"/>
        <v>ID</v>
      </c>
      <c r="T51" s="222" t="str">
        <f ca="1">IF(B51="","",IF(ISERROR(MATCH($J51,SorP!$B$1:$B$6230,0)),"",INDIRECT("'SorP'!$A$"&amp;MATCH($J51,SorP!$B$1:$B$6230,0))))</f>
        <v>ID-BB</v>
      </c>
      <c r="U51" s="238"/>
      <c r="V51" s="270">
        <f>IF(C51="",NA(),MATCH($B51&amp;$C51,'Smelter Look-up'!$J:$J,0))</f>
        <v>481</v>
      </c>
      <c r="W51" s="271"/>
      <c r="X51" s="271">
        <f t="shared" ca="1" si="7"/>
        <v>0</v>
      </c>
      <c r="Y51" s="271"/>
      <c r="Z51" s="271"/>
      <c r="AB51" s="273" t="str">
        <f t="shared" si="8"/>
        <v>TinPT Menara Cipta Mulia</v>
      </c>
    </row>
    <row r="52" spans="1:28" s="272" customFormat="1" ht="38.25">
      <c r="A52" s="214"/>
      <c r="B52" s="215" t="s">
        <v>1131</v>
      </c>
      <c r="C52" s="219" t="s">
        <v>15380</v>
      </c>
      <c r="D52" s="278"/>
      <c r="E52" s="215" t="str">
        <f ca="1">IF(ISERROR($V52),"",OFFSET('Smelter Look-up'!$D$4,$V52-4,0)&amp;"")</f>
        <v>INDONESIA</v>
      </c>
      <c r="F52" s="215" t="str">
        <f ca="1">IF(ISERROR($V52),"",OFFSET('Smelter Look-up'!$E$4,$V52-4,0))</f>
        <v>CID002593</v>
      </c>
      <c r="G52" s="215" t="str">
        <f ca="1">IF(C52=$X$4,"Enter smelter details",IF(ISERROR($V52),"",OFFSET('Smelter Look-up'!$F$4,$V52-4,0)))</f>
        <v>RMI</v>
      </c>
      <c r="H52" s="216">
        <f ca="1">IF(ISERROR($V52),"",OFFSET('Smelter Look-up'!$G$4,$V52-4,0))</f>
        <v>0</v>
      </c>
      <c r="I52" s="217" t="str">
        <f ca="1">IF(ISERROR($V52),"",OFFSET('Smelter Look-up'!$H$4,$V52-4,0))</f>
        <v>Pangkal Pinang</v>
      </c>
      <c r="J52" s="217" t="str">
        <f ca="1">IF(ISERROR($V52),"",OFFSET('Smelter Look-up'!$I$4,$V52-4,0))</f>
        <v>Kepulauan Bangka Belitung</v>
      </c>
      <c r="K52" s="268"/>
      <c r="L52" s="268"/>
      <c r="M52" s="268"/>
      <c r="N52" s="268"/>
      <c r="O52" s="268"/>
      <c r="P52" s="218"/>
      <c r="Q52" s="355" t="s">
        <v>15622</v>
      </c>
      <c r="R52" s="215" t="str">
        <f ca="1">IF(ISERROR($V52),"",OFFSET('Smelter Look-up'!$C$4,$V52-4,0)&amp;"")</f>
        <v>PT Rajehan Ariq</v>
      </c>
      <c r="S52" s="222" t="str">
        <f t="shared" ca="1" si="6"/>
        <v>ID</v>
      </c>
      <c r="T52" s="222" t="str">
        <f ca="1">IF(B52="","",IF(ISERROR(MATCH($J52,SorP!$B$1:$B$6230,0)),"",INDIRECT("'SorP'!$A$"&amp;MATCH($J52,SorP!$B$1:$B$6230,0))))</f>
        <v>ID-BB</v>
      </c>
      <c r="U52" s="238"/>
      <c r="V52" s="270">
        <f>IF(C52="",NA(),MATCH($B52&amp;$C52,'Smelter Look-up'!$J:$J,0))</f>
        <v>486</v>
      </c>
      <c r="W52" s="271"/>
      <c r="X52" s="271">
        <f t="shared" ca="1" si="7"/>
        <v>0</v>
      </c>
      <c r="Y52" s="271"/>
      <c r="Z52" s="271"/>
      <c r="AB52" s="273" t="str">
        <f t="shared" si="8"/>
        <v>TinPT Rajehan Ariq</v>
      </c>
    </row>
    <row r="53" spans="1:28" s="272" customFormat="1" ht="25.5">
      <c r="A53" s="214"/>
      <c r="B53" s="215" t="s">
        <v>1131</v>
      </c>
      <c r="C53" s="219" t="s">
        <v>1031</v>
      </c>
      <c r="D53" s="278"/>
      <c r="E53" s="215" t="str">
        <f ca="1">IF(ISERROR($V53),"",OFFSET('Smelter Look-up'!$D$4,$V53-4,0)&amp;"")</f>
        <v>THAILAND</v>
      </c>
      <c r="F53" s="215" t="str">
        <f ca="1">IF(ISERROR($V53),"",OFFSET('Smelter Look-up'!$E$4,$V53-4,0))</f>
        <v>CID001898</v>
      </c>
      <c r="G53" s="215" t="str">
        <f ca="1">IF(C53=$X$4,"Enter smelter details",IF(ISERROR($V53),"",OFFSET('Smelter Look-up'!$F$4,$V53-4,0)))</f>
        <v>RMI</v>
      </c>
      <c r="H53" s="216">
        <f ca="1">IF(ISERROR($V53),"",OFFSET('Smelter Look-up'!$G$4,$V53-4,0))</f>
        <v>0</v>
      </c>
      <c r="I53" s="217" t="str">
        <f ca="1">IF(ISERROR($V53),"",OFFSET('Smelter Look-up'!$H$4,$V53-4,0))</f>
        <v>Amphur Muang</v>
      </c>
      <c r="J53" s="217" t="str">
        <f ca="1">IF(ISERROR($V53),"",OFFSET('Smelter Look-up'!$I$4,$V53-4,0))</f>
        <v>Phuket</v>
      </c>
      <c r="K53" s="268"/>
      <c r="L53" s="268"/>
      <c r="M53" s="268"/>
      <c r="N53" s="268"/>
      <c r="O53" s="268"/>
      <c r="P53" s="218"/>
      <c r="Q53" s="355" t="s">
        <v>15622</v>
      </c>
      <c r="R53" s="215" t="str">
        <f ca="1">IF(ISERROR($V53),"",OFFSET('Smelter Look-up'!$C$4,$V53-4,0)&amp;"")</f>
        <v>Thaisarco</v>
      </c>
      <c r="S53" s="222" t="str">
        <f t="shared" ca="1" si="6"/>
        <v>TH</v>
      </c>
      <c r="T53" s="222" t="str">
        <f ca="1">IF(B53="","",IF(ISERROR(MATCH($J53,SorP!$B$1:$B$6230,0)),"",INDIRECT("'SorP'!$A$"&amp;MATCH($J53,SorP!$B$1:$B$6230,0))))</f>
        <v>TH-83</v>
      </c>
      <c r="U53" s="238"/>
      <c r="V53" s="270">
        <f>IF(C53="",NA(),MATCH($B53&amp;$C53,'Smelter Look-up'!$J:$J,0))</f>
        <v>504</v>
      </c>
      <c r="W53" s="271"/>
      <c r="X53" s="271">
        <f t="shared" ca="1" si="7"/>
        <v>0</v>
      </c>
      <c r="Y53" s="271"/>
      <c r="Z53" s="271"/>
      <c r="AB53" s="273" t="str">
        <f t="shared" si="8"/>
        <v>TinThaisarco</v>
      </c>
    </row>
    <row r="54" spans="1:28" s="272" customFormat="1" ht="63.75">
      <c r="A54" s="214"/>
      <c r="B54" s="215" t="s">
        <v>1131</v>
      </c>
      <c r="C54" s="219" t="s">
        <v>1403</v>
      </c>
      <c r="D54" s="278"/>
      <c r="E54" s="215" t="str">
        <f ca="1">IF(ISERROR($V54),"",OFFSET('Smelter Look-up'!$D$4,$V54-4,0)&amp;"")</f>
        <v>INDONESIA</v>
      </c>
      <c r="F54" s="215" t="str">
        <f ca="1">IF(ISERROR($V54),"",OFFSET('Smelter Look-up'!$E$4,$V54-4,0))</f>
        <v>CID002503</v>
      </c>
      <c r="G54" s="215" t="str">
        <f ca="1">IF(C54=$X$4,"Enter smelter details",IF(ISERROR($V54),"",OFFSET('Smelter Look-up'!$F$4,$V54-4,0)))</f>
        <v>RMI</v>
      </c>
      <c r="H54" s="216">
        <f ca="1">IF(ISERROR($V54),"",OFFSET('Smelter Look-up'!$G$4,$V54-4,0))</f>
        <v>0</v>
      </c>
      <c r="I54" s="217" t="str">
        <f ca="1">IF(ISERROR($V54),"",OFFSET('Smelter Look-up'!$H$4,$V54-4,0))</f>
        <v>Sungailiat</v>
      </c>
      <c r="J54" s="217" t="str">
        <f ca="1">IF(ISERROR($V54),"",OFFSET('Smelter Look-up'!$I$4,$V54-4,0))</f>
        <v>Kepulauan Bangka Belitung</v>
      </c>
      <c r="K54" s="268"/>
      <c r="L54" s="268"/>
      <c r="M54" s="268"/>
      <c r="N54" s="268"/>
      <c r="O54" s="268"/>
      <c r="P54" s="218"/>
      <c r="Q54" s="355" t="s">
        <v>15622</v>
      </c>
      <c r="R54" s="215" t="str">
        <f ca="1">IF(ISERROR($V54),"",OFFSET('Smelter Look-up'!$C$4,$V54-4,0)&amp;"")</f>
        <v>PT ATD Makmur Mandiri Jaya</v>
      </c>
      <c r="S54" s="222" t="str">
        <f t="shared" ca="1" si="6"/>
        <v>ID</v>
      </c>
      <c r="T54" s="222" t="str">
        <f ca="1">IF(B54="","",IF(ISERROR(MATCH($J54,SorP!$B$1:$B$6230,0)),"",INDIRECT("'SorP'!$A$"&amp;MATCH($J54,SorP!$B$1:$B$6230,0))))</f>
        <v>ID-BB</v>
      </c>
      <c r="U54" s="238"/>
      <c r="V54" s="270">
        <f>IF(C54="",NA(),MATCH($B54&amp;$C54,'Smelter Look-up'!$J:$J,0))</f>
        <v>477</v>
      </c>
      <c r="W54" s="271"/>
      <c r="X54" s="271">
        <f t="shared" ca="1" si="7"/>
        <v>0</v>
      </c>
      <c r="Y54" s="271"/>
      <c r="Z54" s="271"/>
      <c r="AB54" s="273" t="str">
        <f t="shared" si="8"/>
        <v>TinPT ATD Makmur Mandiri Jaya</v>
      </c>
    </row>
    <row r="55" spans="1:28" s="272" customFormat="1" ht="102">
      <c r="A55" s="214"/>
      <c r="B55" s="215" t="s">
        <v>1131</v>
      </c>
      <c r="C55" s="219" t="s">
        <v>2183</v>
      </c>
      <c r="D55" s="278"/>
      <c r="E55" s="215" t="str">
        <f ca="1">IF(ISERROR($V55),"",OFFSET('Smelter Look-up'!$D$4,$V55-4,0)&amp;"")</f>
        <v>CHINA</v>
      </c>
      <c r="F55" s="215" t="str">
        <f ca="1">IF(ISERROR($V55),"",OFFSET('Smelter Look-up'!$E$4,$V55-4,0))</f>
        <v>CID002158</v>
      </c>
      <c r="G55" s="215" t="str">
        <f ca="1">IF(C55=$X$4,"Enter smelter details",IF(ISERROR($V55),"",OFFSET('Smelter Look-up'!$F$4,$V55-4,0)))</f>
        <v>RMI</v>
      </c>
      <c r="H55" s="216">
        <f ca="1">IF(ISERROR($V55),"",OFFSET('Smelter Look-up'!$G$4,$V55-4,0))</f>
        <v>0</v>
      </c>
      <c r="I55" s="217" t="str">
        <f ca="1">IF(ISERROR($V55),"",OFFSET('Smelter Look-up'!$H$4,$V55-4,0))</f>
        <v>Gejiu</v>
      </c>
      <c r="J55" s="217" t="str">
        <f ca="1">IF(ISERROR($V55),"",OFFSET('Smelter Look-up'!$I$4,$V55-4,0))</f>
        <v>Yunnan Sheng</v>
      </c>
      <c r="K55" s="268"/>
      <c r="L55" s="268"/>
      <c r="M55" s="268"/>
      <c r="N55" s="268"/>
      <c r="O55" s="268"/>
      <c r="P55" s="218"/>
      <c r="Q55" s="356" t="s">
        <v>15623</v>
      </c>
      <c r="R55" s="215" t="str">
        <f ca="1">IF(ISERROR($V55),"",OFFSET('Smelter Look-up'!$C$4,$V55-4,0)&amp;"")</f>
        <v>Yunnan Chengfeng Non-ferrous Metals Co., Ltd.</v>
      </c>
      <c r="S55" s="222" t="str">
        <f t="shared" ca="1" si="6"/>
        <v>CN</v>
      </c>
      <c r="T55" s="222" t="str">
        <f ca="1">IF(B55="","",IF(ISERROR(MATCH($J55,SorP!$B$1:$B$6230,0)),"",INDIRECT("'SorP'!$A$"&amp;MATCH($J55,SorP!$B$1:$B$6230,0))))</f>
        <v>CN-YN</v>
      </c>
      <c r="U55" s="238"/>
      <c r="V55" s="270">
        <f>IF(C55="",NA(),MATCH($B55&amp;$C55,'Smelter Look-up'!$J:$J,0))</f>
        <v>520</v>
      </c>
      <c r="W55" s="271"/>
      <c r="X55" s="271">
        <f t="shared" ca="1" si="7"/>
        <v>0</v>
      </c>
      <c r="Y55" s="271"/>
      <c r="Z55" s="271"/>
      <c r="AB55" s="273" t="str">
        <f t="shared" si="8"/>
        <v>TinYunnan Chengfeng Non-ferrous Metals Co., Ltd.</v>
      </c>
    </row>
    <row r="56" spans="1:28" s="272" customFormat="1" ht="89.25">
      <c r="A56" s="214"/>
      <c r="B56" s="215" t="s">
        <v>1131</v>
      </c>
      <c r="C56" s="219" t="s">
        <v>821</v>
      </c>
      <c r="D56" s="278"/>
      <c r="E56" s="215" t="str">
        <f ca="1">IF(ISERROR($V56),"",OFFSET('Smelter Look-up'!$D$4,$V56-4,0)&amp;"")</f>
        <v>MALAYSIA</v>
      </c>
      <c r="F56" s="215" t="str">
        <f ca="1">IF(ISERROR($V56),"",OFFSET('Smelter Look-up'!$E$4,$V56-4,0))</f>
        <v>CID001105</v>
      </c>
      <c r="G56" s="215" t="str">
        <f ca="1">IF(C56=$X$4,"Enter smelter details",IF(ISERROR($V56),"",OFFSET('Smelter Look-up'!$F$4,$V56-4,0)))</f>
        <v>RMI</v>
      </c>
      <c r="H56" s="216">
        <f ca="1">IF(ISERROR($V56),"",OFFSET('Smelter Look-up'!$G$4,$V56-4,0))</f>
        <v>0</v>
      </c>
      <c r="I56" s="217" t="str">
        <f ca="1">IF(ISERROR($V56),"",OFFSET('Smelter Look-up'!$H$4,$V56-4,0))</f>
        <v>Butterworth</v>
      </c>
      <c r="J56" s="217" t="str">
        <f ca="1">IF(ISERROR($V56),"",OFFSET('Smelter Look-up'!$I$4,$V56-4,0))</f>
        <v>Pulau Pinang</v>
      </c>
      <c r="K56" s="268"/>
      <c r="L56" s="268"/>
      <c r="M56" s="268"/>
      <c r="N56" s="268"/>
      <c r="O56" s="268"/>
      <c r="P56" s="218"/>
      <c r="Q56" s="357" t="s">
        <v>15624</v>
      </c>
      <c r="R56" s="215" t="str">
        <f ca="1">IF(ISERROR($V56),"",OFFSET('Smelter Look-up'!$C$4,$V56-4,0)&amp;"")</f>
        <v>Malaysia Smelting Corporation (MSC)</v>
      </c>
      <c r="S56" s="222" t="str">
        <f t="shared" ca="1" si="6"/>
        <v>MY</v>
      </c>
      <c r="T56" s="222" t="str">
        <f ca="1">IF(B56="","",IF(ISERROR(MATCH($J56,SorP!$B$1:$B$6230,0)),"",INDIRECT("'SorP'!$A$"&amp;MATCH($J56,SorP!$B$1:$B$6230,0))))</f>
        <v>MY-07</v>
      </c>
      <c r="U56" s="238"/>
      <c r="V56" s="270">
        <f>IF(C56="",NA(),MATCH($B56&amp;$C56,'Smelter Look-up'!$J:$J,0))</f>
        <v>449</v>
      </c>
      <c r="W56" s="271"/>
      <c r="X56" s="271">
        <f t="shared" ca="1" si="7"/>
        <v>0</v>
      </c>
      <c r="Y56" s="271"/>
      <c r="Z56" s="271"/>
      <c r="AB56" s="273" t="str">
        <f t="shared" si="8"/>
        <v>TinMalaysia Smelting Corporation (MSC)</v>
      </c>
    </row>
    <row r="57" spans="1:28" s="272" customFormat="1" ht="89.25">
      <c r="A57" s="214"/>
      <c r="B57" s="215" t="s">
        <v>1131</v>
      </c>
      <c r="C57" s="219" t="s">
        <v>2566</v>
      </c>
      <c r="D57" s="278"/>
      <c r="E57" s="215" t="str">
        <f ca="1">IF(ISERROR($V57),"",OFFSET('Smelter Look-up'!$D$4,$V57-4,0)&amp;"")</f>
        <v>BRAZIL</v>
      </c>
      <c r="F57" s="215" t="str">
        <f ca="1">IF(ISERROR($V57),"",OFFSET('Smelter Look-up'!$E$4,$V57-4,0))</f>
        <v>CID002036</v>
      </c>
      <c r="G57" s="215" t="str">
        <f ca="1">IF(C57=$X$4,"Enter smelter details",IF(ISERROR($V57),"",OFFSET('Smelter Look-up'!$F$4,$V57-4,0)))</f>
        <v>RMI</v>
      </c>
      <c r="H57" s="216">
        <f ca="1">IF(ISERROR($V57),"",OFFSET('Smelter Look-up'!$G$4,$V57-4,0))</f>
        <v>0</v>
      </c>
      <c r="I57" s="217" t="str">
        <f ca="1">IF(ISERROR($V57),"",OFFSET('Smelter Look-up'!$H$4,$V57-4,0))</f>
        <v>Ariquemes</v>
      </c>
      <c r="J57" s="217" t="str">
        <f ca="1">IF(ISERROR($V57),"",OFFSET('Smelter Look-up'!$I$4,$V57-4,0))</f>
        <v>Rondônia</v>
      </c>
      <c r="K57" s="268"/>
      <c r="L57" s="268"/>
      <c r="M57" s="268"/>
      <c r="N57" s="268"/>
      <c r="O57" s="268"/>
      <c r="P57" s="218"/>
      <c r="Q57" s="357" t="s">
        <v>15625</v>
      </c>
      <c r="R57" s="215" t="str">
        <f ca="1">IF(ISERROR($V57),"",OFFSET('Smelter Look-up'!$C$4,$V57-4,0)&amp;"")</f>
        <v>White Solder Metalurgia e Mineracao Ltda.</v>
      </c>
      <c r="S57" s="222" t="str">
        <f t="shared" ca="1" si="6"/>
        <v>BR</v>
      </c>
      <c r="T57" s="222" t="str">
        <f ca="1">IF(B57="","",IF(ISERROR(MATCH($J57,SorP!$B$1:$B$6230,0)),"",INDIRECT("'SorP'!$A$"&amp;MATCH($J57,SorP!$B$1:$B$6230,0))))</f>
        <v>BR-RO</v>
      </c>
      <c r="U57" s="238"/>
      <c r="V57" s="270">
        <f>IF(C57="",NA(),MATCH($B57&amp;$C57,'Smelter Look-up'!$J:$J,0))</f>
        <v>512</v>
      </c>
      <c r="W57" s="271"/>
      <c r="X57" s="271">
        <f t="shared" ca="1" si="7"/>
        <v>0</v>
      </c>
      <c r="Y57" s="271"/>
      <c r="Z57" s="271"/>
      <c r="AB57" s="273" t="str">
        <f t="shared" si="8"/>
        <v>TinWhite Solder Metalurgia e Mineracao Ltda.</v>
      </c>
    </row>
    <row r="58" spans="1:28" s="272" customFormat="1" ht="25.5">
      <c r="A58" s="214"/>
      <c r="B58" s="215" t="s">
        <v>1131</v>
      </c>
      <c r="C58" s="219" t="s">
        <v>815</v>
      </c>
      <c r="D58" s="278"/>
      <c r="E58" s="215" t="str">
        <f ca="1">IF(ISERROR($V58),"",OFFSET('Smelter Look-up'!$D$4,$V58-4,0)&amp;"")</f>
        <v>POLAND</v>
      </c>
      <c r="F58" s="215" t="str">
        <f ca="1">IF(ISERROR($V58),"",OFFSET('Smelter Look-up'!$E$4,$V58-4,0))</f>
        <v>CID000468</v>
      </c>
      <c r="G58" s="215" t="str">
        <f ca="1">IF(C58=$X$4,"Enter smelter details",IF(ISERROR($V58),"",OFFSET('Smelter Look-up'!$F$4,$V58-4,0)))</f>
        <v>RMI</v>
      </c>
      <c r="H58" s="216">
        <f ca="1">IF(ISERROR($V58),"",OFFSET('Smelter Look-up'!$G$4,$V58-4,0))</f>
        <v>0</v>
      </c>
      <c r="I58" s="217" t="str">
        <f ca="1">IF(ISERROR($V58),"",OFFSET('Smelter Look-up'!$H$4,$V58-4,0))</f>
        <v>Chmielów</v>
      </c>
      <c r="J58" s="217" t="str">
        <f ca="1">IF(ISERROR($V58),"",OFFSET('Smelter Look-up'!$I$4,$V58-4,0))</f>
        <v>Podkarpackie</v>
      </c>
      <c r="K58" s="268"/>
      <c r="L58" s="268"/>
      <c r="M58" s="268"/>
      <c r="N58" s="268"/>
      <c r="O58" s="268"/>
      <c r="P58" s="218"/>
      <c r="Q58" s="357" t="s">
        <v>15625</v>
      </c>
      <c r="R58" s="215" t="str">
        <f ca="1">IF(ISERROR($V58),"",OFFSET('Smelter Look-up'!$C$4,$V58-4,0)&amp;"")</f>
        <v>Fenix Metals</v>
      </c>
      <c r="S58" s="222" t="str">
        <f t="shared" ca="1" si="6"/>
        <v>PL</v>
      </c>
      <c r="T58" s="222" t="str">
        <f ca="1">IF(B58="","",IF(ISERROR(MATCH($J58,SorP!$B$1:$B$6230,0)),"",INDIRECT("'SorP'!$A$"&amp;MATCH($J58,SorP!$B$1:$B$6230,0))))</f>
        <v>PL-18</v>
      </c>
      <c r="U58" s="238"/>
      <c r="V58" s="270">
        <f>IF(C58="",NA(),MATCH($B58&amp;$C58,'Smelter Look-up'!$J:$J,0))</f>
        <v>421</v>
      </c>
      <c r="W58" s="271"/>
      <c r="X58" s="271">
        <f t="shared" ca="1" si="7"/>
        <v>0</v>
      </c>
      <c r="Y58" s="271"/>
      <c r="Z58" s="271"/>
      <c r="AB58" s="273" t="str">
        <f t="shared" si="8"/>
        <v>TinFenix Metals</v>
      </c>
    </row>
    <row r="59" spans="1:28" s="272" customFormat="1" ht="25.5">
      <c r="A59" s="214"/>
      <c r="B59" s="215" t="s">
        <v>1131</v>
      </c>
      <c r="C59" s="219" t="s">
        <v>1031</v>
      </c>
      <c r="D59" s="278"/>
      <c r="E59" s="215" t="str">
        <f ca="1">IF(ISERROR($V59),"",OFFSET('Smelter Look-up'!$D$4,$V59-4,0)&amp;"")</f>
        <v>THAILAND</v>
      </c>
      <c r="F59" s="215" t="str">
        <f ca="1">IF(ISERROR($V59),"",OFFSET('Smelter Look-up'!$E$4,$V59-4,0))</f>
        <v>CID001898</v>
      </c>
      <c r="G59" s="215" t="str">
        <f ca="1">IF(C59=$X$4,"Enter smelter details",IF(ISERROR($V59),"",OFFSET('Smelter Look-up'!$F$4,$V59-4,0)))</f>
        <v>RMI</v>
      </c>
      <c r="H59" s="216">
        <f ca="1">IF(ISERROR($V59),"",OFFSET('Smelter Look-up'!$G$4,$V59-4,0))</f>
        <v>0</v>
      </c>
      <c r="I59" s="217" t="str">
        <f ca="1">IF(ISERROR($V59),"",OFFSET('Smelter Look-up'!$H$4,$V59-4,0))</f>
        <v>Amphur Muang</v>
      </c>
      <c r="J59" s="217" t="str">
        <f ca="1">IF(ISERROR($V59),"",OFFSET('Smelter Look-up'!$I$4,$V59-4,0))</f>
        <v>Phuket</v>
      </c>
      <c r="K59" s="268"/>
      <c r="L59" s="268"/>
      <c r="M59" s="268"/>
      <c r="N59" s="268"/>
      <c r="O59" s="268"/>
      <c r="P59" s="218"/>
      <c r="Q59" s="357" t="s">
        <v>15624</v>
      </c>
      <c r="R59" s="215" t="str">
        <f ca="1">IF(ISERROR($V59),"",OFFSET('Smelter Look-up'!$C$4,$V59-4,0)&amp;"")</f>
        <v>Thaisarco</v>
      </c>
      <c r="S59" s="222" t="str">
        <f t="shared" ca="1" si="6"/>
        <v>TH</v>
      </c>
      <c r="T59" s="222" t="str">
        <f ca="1">IF(B59="","",IF(ISERROR(MATCH($J59,SorP!$B$1:$B$6230,0)),"",INDIRECT("'SorP'!$A$"&amp;MATCH($J59,SorP!$B$1:$B$6230,0))))</f>
        <v>TH-83</v>
      </c>
      <c r="U59" s="238"/>
      <c r="V59" s="270">
        <f>IF(C59="",NA(),MATCH($B59&amp;$C59,'Smelter Look-up'!$J:$J,0))</f>
        <v>504</v>
      </c>
      <c r="W59" s="271"/>
      <c r="X59" s="271">
        <f t="shared" ca="1" si="7"/>
        <v>0</v>
      </c>
      <c r="Y59" s="271"/>
      <c r="Z59" s="271"/>
      <c r="AB59" s="273" t="str">
        <f t="shared" si="8"/>
        <v>TinThaisarco</v>
      </c>
    </row>
    <row r="60" spans="1:28" s="272" customFormat="1" ht="51">
      <c r="A60" s="214"/>
      <c r="B60" s="215" t="s">
        <v>1131</v>
      </c>
      <c r="C60" s="219" t="s">
        <v>14025</v>
      </c>
      <c r="D60" s="278"/>
      <c r="E60" s="215" t="str">
        <f ca="1">IF(ISERROR($V60),"",OFFSET('Smelter Look-up'!$D$4,$V60-4,0)&amp;"")</f>
        <v>INDONESIA</v>
      </c>
      <c r="F60" s="215" t="str">
        <f ca="1">IF(ISERROR($V60),"",OFFSET('Smelter Look-up'!$E$4,$V60-4,0))</f>
        <v>CID001482</v>
      </c>
      <c r="G60" s="215" t="str">
        <f ca="1">IF(C60=$X$4,"Enter smelter details",IF(ISERROR($V60),"",OFFSET('Smelter Look-up'!$F$4,$V60-4,0)))</f>
        <v>RMI</v>
      </c>
      <c r="H60" s="216">
        <f ca="1">IF(ISERROR($V60),"",OFFSET('Smelter Look-up'!$G$4,$V60-4,0))</f>
        <v>0</v>
      </c>
      <c r="I60" s="217" t="str">
        <f ca="1">IF(ISERROR($V60),"",OFFSET('Smelter Look-up'!$H$4,$V60-4,0))</f>
        <v>Mentok</v>
      </c>
      <c r="J60" s="217" t="str">
        <f ca="1">IF(ISERROR($V60),"",OFFSET('Smelter Look-up'!$I$4,$V60-4,0))</f>
        <v>Kepulauan Bangka Belitung</v>
      </c>
      <c r="K60" s="268"/>
      <c r="L60" s="268"/>
      <c r="M60" s="268"/>
      <c r="N60" s="268"/>
      <c r="O60" s="268"/>
      <c r="P60" s="218"/>
      <c r="Q60" s="357" t="s">
        <v>15624</v>
      </c>
      <c r="R60" s="215" t="str">
        <f ca="1">IF(ISERROR($V60),"",OFFSET('Smelter Look-up'!$C$4,$V60-4,0)&amp;"")</f>
        <v>PT Timah Tbk Mentok</v>
      </c>
      <c r="S60" s="222" t="str">
        <f t="shared" ca="1" si="6"/>
        <v>ID</v>
      </c>
      <c r="T60" s="222" t="str">
        <f ca="1">IF(B60="","",IF(ISERROR(MATCH($J60,SorP!$B$1:$B$6230,0)),"",INDIRECT("'SorP'!$A$"&amp;MATCH($J60,SorP!$B$1:$B$6230,0))))</f>
        <v>ID-BB</v>
      </c>
      <c r="U60" s="238"/>
      <c r="V60" s="270">
        <f>IF(C60="",NA(),MATCH($B60&amp;$C60,'Smelter Look-up'!$J:$J,0))</f>
        <v>492</v>
      </c>
      <c r="W60" s="271"/>
      <c r="X60" s="271">
        <f t="shared" ca="1" si="7"/>
        <v>0</v>
      </c>
      <c r="Y60" s="271"/>
      <c r="Z60" s="271"/>
      <c r="AB60" s="273" t="str">
        <f t="shared" si="8"/>
        <v>TinPT Timah Tbk Mentok</v>
      </c>
    </row>
    <row r="61" spans="1:28" s="272" customFormat="1" ht="51">
      <c r="A61" s="214"/>
      <c r="B61" s="215" t="s">
        <v>1131</v>
      </c>
      <c r="C61" s="219" t="s">
        <v>14026</v>
      </c>
      <c r="D61" s="278"/>
      <c r="E61" s="215" t="str">
        <f ca="1">IF(ISERROR($V61),"",OFFSET('Smelter Look-up'!$D$4,$V61-4,0)&amp;"")</f>
        <v>INDONESIA</v>
      </c>
      <c r="F61" s="215" t="str">
        <f ca="1">IF(ISERROR($V61),"",OFFSET('Smelter Look-up'!$E$4,$V61-4,0))</f>
        <v>CID001477</v>
      </c>
      <c r="G61" s="215" t="str">
        <f ca="1">IF(C61=$X$4,"Enter smelter details",IF(ISERROR($V61),"",OFFSET('Smelter Look-up'!$F$4,$V61-4,0)))</f>
        <v>RMI</v>
      </c>
      <c r="H61" s="216">
        <f ca="1">IF(ISERROR($V61),"",OFFSET('Smelter Look-up'!$G$4,$V61-4,0))</f>
        <v>0</v>
      </c>
      <c r="I61" s="217" t="str">
        <f ca="1">IF(ISERROR($V61),"",OFFSET('Smelter Look-up'!$H$4,$V61-4,0))</f>
        <v>Kundur</v>
      </c>
      <c r="J61" s="217" t="str">
        <f ca="1">IF(ISERROR($V61),"",OFFSET('Smelter Look-up'!$I$4,$V61-4,0))</f>
        <v>Riau</v>
      </c>
      <c r="K61" s="268"/>
      <c r="L61" s="268"/>
      <c r="M61" s="268"/>
      <c r="N61" s="268"/>
      <c r="O61" s="268"/>
      <c r="P61" s="218"/>
      <c r="Q61" s="357" t="s">
        <v>15624</v>
      </c>
      <c r="R61" s="215" t="str">
        <f ca="1">IF(ISERROR($V61),"",OFFSET('Smelter Look-up'!$C$4,$V61-4,0)&amp;"")</f>
        <v>PT Timah Tbk Kundur</v>
      </c>
      <c r="S61" s="222" t="str">
        <f t="shared" ca="1" si="6"/>
        <v>ID</v>
      </c>
      <c r="T61" s="222" t="str">
        <f ca="1">IF(B61="","",IF(ISERROR(MATCH($J61,SorP!$B$1:$B$6230,0)),"",INDIRECT("'SorP'!$A$"&amp;MATCH($J61,SorP!$B$1:$B$6230,0))))</f>
        <v>ID-RI</v>
      </c>
      <c r="U61" s="238"/>
      <c r="V61" s="270">
        <f>IF(C61="",NA(),MATCH($B61&amp;$C61,'Smelter Look-up'!$J:$J,0))</f>
        <v>491</v>
      </c>
      <c r="W61" s="271"/>
      <c r="X61" s="271">
        <f t="shared" ca="1" si="7"/>
        <v>0</v>
      </c>
      <c r="Y61" s="271"/>
      <c r="Z61" s="271"/>
      <c r="AB61" s="273" t="str">
        <f t="shared" si="8"/>
        <v>TinPT Timah Tbk Kundur</v>
      </c>
    </row>
    <row r="62" spans="1:28" s="272" customFormat="1" ht="63.75">
      <c r="A62" s="214"/>
      <c r="B62" s="215" t="s">
        <v>1131</v>
      </c>
      <c r="C62" s="219" t="s">
        <v>844</v>
      </c>
      <c r="D62" s="278"/>
      <c r="E62" s="215" t="str">
        <f ca="1">IF(ISERROR($V62),"",OFFSET('Smelter Look-up'!$D$4,$V62-4,0)&amp;"")</f>
        <v>INDONESIA</v>
      </c>
      <c r="F62" s="215" t="str">
        <f ca="1">IF(ISERROR($V62),"",OFFSET('Smelter Look-up'!$E$4,$V62-4,0))</f>
        <v>CID001399</v>
      </c>
      <c r="G62" s="215" t="str">
        <f ca="1">IF(C62=$X$4,"Enter smelter details",IF(ISERROR($V62),"",OFFSET('Smelter Look-up'!$F$4,$V62-4,0)))</f>
        <v>RMI</v>
      </c>
      <c r="H62" s="216">
        <f ca="1">IF(ISERROR($V62),"",OFFSET('Smelter Look-up'!$G$4,$V62-4,0))</f>
        <v>0</v>
      </c>
      <c r="I62" s="217" t="str">
        <f ca="1">IF(ISERROR($V62),"",OFFSET('Smelter Look-up'!$H$4,$V62-4,0))</f>
        <v>Sungailiat</v>
      </c>
      <c r="J62" s="217" t="str">
        <f ca="1">IF(ISERROR($V62),"",OFFSET('Smelter Look-up'!$I$4,$V62-4,0))</f>
        <v>Kepulauan Bangka Belitung</v>
      </c>
      <c r="K62" s="268"/>
      <c r="L62" s="268"/>
      <c r="M62" s="268"/>
      <c r="N62" s="268"/>
      <c r="O62" s="268"/>
      <c r="P62" s="218"/>
      <c r="Q62" s="357" t="s">
        <v>15624</v>
      </c>
      <c r="R62" s="215" t="str">
        <f ca="1">IF(ISERROR($V62),"",OFFSET('Smelter Look-up'!$C$4,$V62-4,0)&amp;"")</f>
        <v>PT Artha Cipta Langgeng</v>
      </c>
      <c r="S62" s="222" t="str">
        <f t="shared" ca="1" si="6"/>
        <v>ID</v>
      </c>
      <c r="T62" s="222" t="str">
        <f ca="1">IF(B62="","",IF(ISERROR(MATCH($J62,SorP!$B$1:$B$6230,0)),"",INDIRECT("'SorP'!$A$"&amp;MATCH($J62,SorP!$B$1:$B$6230,0))))</f>
        <v>ID-BB</v>
      </c>
      <c r="U62" s="238"/>
      <c r="V62" s="270">
        <f>IF(C62="",NA(),MATCH($B62&amp;$C62,'Smelter Look-up'!$J:$J,0))</f>
        <v>476</v>
      </c>
      <c r="W62" s="271"/>
      <c r="X62" s="271">
        <f t="shared" ca="1" si="7"/>
        <v>0</v>
      </c>
      <c r="Y62" s="271"/>
      <c r="Z62" s="271"/>
      <c r="AB62" s="273" t="str">
        <f t="shared" si="8"/>
        <v>TinPT Artha Cipta Langgeng</v>
      </c>
    </row>
    <row r="63" spans="1:28" s="272" customFormat="1" ht="20.100000000000001" customHeight="1">
      <c r="A63" s="214"/>
      <c r="B63" s="215" t="s">
        <v>1131</v>
      </c>
      <c r="C63" s="219" t="s">
        <v>2370</v>
      </c>
      <c r="D63" s="278"/>
      <c r="E63" s="215" t="str">
        <f ca="1">IF(ISERROR($V63),"",OFFSET('Smelter Look-up'!$D$4,$V63-4,0)&amp;"")</f>
        <v>CHINA</v>
      </c>
      <c r="F63" s="215" t="str">
        <f ca="1">IF(ISERROR($V63),"",OFFSET('Smelter Look-up'!$E$4,$V63-4,0))</f>
        <v>CID002180</v>
      </c>
      <c r="G63" s="215" t="str">
        <f ca="1">IF(C63=$X$4,"Enter smelter details",IF(ISERROR($V63),"",OFFSET('Smelter Look-up'!$F$4,$V63-4,0)))</f>
        <v>RMI</v>
      </c>
      <c r="H63" s="216">
        <f ca="1">IF(ISERROR($V63),"",OFFSET('Smelter Look-up'!$G$4,$V63-4,0))</f>
        <v>0</v>
      </c>
      <c r="I63" s="217" t="str">
        <f ca="1">IF(ISERROR($V63),"",OFFSET('Smelter Look-up'!$H$4,$V63-4,0))</f>
        <v>Gejiu</v>
      </c>
      <c r="J63" s="217" t="str">
        <f ca="1">IF(ISERROR($V63),"",OFFSET('Smelter Look-up'!$I$4,$V63-4,0))</f>
        <v>Yunnan Sheng</v>
      </c>
      <c r="K63" s="268"/>
      <c r="L63" s="268"/>
      <c r="M63" s="268"/>
      <c r="N63" s="268"/>
      <c r="O63" s="268"/>
      <c r="P63" s="218"/>
      <c r="Q63" s="358" t="s">
        <v>15626</v>
      </c>
      <c r="R63" s="215" t="str">
        <f ca="1">IF(ISERROR($V63),"",OFFSET('Smelter Look-up'!$C$4,$V63-4,0)&amp;"")</f>
        <v>Yunnan Tin Company Limited</v>
      </c>
      <c r="S63" s="222" t="str">
        <f t="shared" ca="1" si="6"/>
        <v>CN</v>
      </c>
      <c r="T63" s="222" t="str">
        <f ca="1">IF(B63="","",IF(ISERROR(MATCH($J63,SorP!$B$1:$B$6230,0)),"",INDIRECT("'SorP'!$A$"&amp;MATCH($J63,SorP!$B$1:$B$6230,0))))</f>
        <v>CN-YN</v>
      </c>
      <c r="U63" s="238"/>
      <c r="V63" s="270">
        <f>IF(C63="",NA(),MATCH($B63&amp;$C63,'Smelter Look-up'!$J:$J,0))</f>
        <v>524</v>
      </c>
      <c r="W63" s="271"/>
      <c r="X63" s="271">
        <f t="shared" ca="1" si="7"/>
        <v>0</v>
      </c>
      <c r="Y63" s="271"/>
      <c r="Z63" s="271"/>
      <c r="AB63" s="273" t="str">
        <f t="shared" si="8"/>
        <v>TinYunnan Tin Company Limited</v>
      </c>
    </row>
    <row r="64" spans="1:28" s="272" customFormat="1" ht="20.100000000000001" customHeight="1">
      <c r="A64" s="214"/>
      <c r="B64" s="215" t="s">
        <v>1132</v>
      </c>
      <c r="C64" s="219" t="s">
        <v>45</v>
      </c>
      <c r="D64" s="278"/>
      <c r="E64" s="215" t="str">
        <f ca="1">IF(ISERROR($V64),"",OFFSET('Smelter Look-up'!$D$4,$V64-4,0)&amp;"")</f>
        <v>CHINA</v>
      </c>
      <c r="F64" s="215" t="str">
        <f ca="1">IF(ISERROR($V64),"",OFFSET('Smelter Look-up'!$E$4,$V64-4,0))</f>
        <v>CID000460</v>
      </c>
      <c r="G64" s="215" t="str">
        <f ca="1">IF(C64=$X$4,"Enter smelter details",IF(ISERROR($V64),"",OFFSET('Smelter Look-up'!$F$4,$V64-4,0)))</f>
        <v>RMI</v>
      </c>
      <c r="H64" s="216">
        <f ca="1">IF(ISERROR($V64),"",OFFSET('Smelter Look-up'!$G$4,$V64-4,0))</f>
        <v>0</v>
      </c>
      <c r="I64" s="217" t="str">
        <f ca="1">IF(ISERROR($V64),"",OFFSET('Smelter Look-up'!$H$4,$V64-4,0))</f>
        <v>Jiangmen</v>
      </c>
      <c r="J64" s="217" t="str">
        <f ca="1">IF(ISERROR($V64),"",OFFSET('Smelter Look-up'!$I$4,$V64-4,0))</f>
        <v>Guangdong Sheng</v>
      </c>
      <c r="K64" s="268"/>
      <c r="L64" s="268"/>
      <c r="M64" s="268"/>
      <c r="N64" s="268"/>
      <c r="O64" s="268"/>
      <c r="P64" s="218"/>
      <c r="Q64" s="358" t="s">
        <v>15627</v>
      </c>
      <c r="R64" s="215" t="str">
        <f ca="1">IF(ISERROR($V64),"",OFFSET('Smelter Look-up'!$C$4,$V64-4,0)&amp;"")</f>
        <v>F&amp;X Electro-Materials Ltd.</v>
      </c>
      <c r="S64" s="222" t="str">
        <f t="shared" ca="1" si="6"/>
        <v>CN</v>
      </c>
      <c r="T64" s="222" t="str">
        <f ca="1">IF(B64="","",IF(ISERROR(MATCH($J64,SorP!$B$1:$B$6230,0)),"",INDIRECT("'SorP'!$A$"&amp;MATCH($J64,SorP!$B$1:$B$6230,0))))</f>
        <v>CN-GD</v>
      </c>
      <c r="U64" s="238"/>
      <c r="V64" s="270">
        <f>IF(C64="",NA(),MATCH($B64&amp;$C64,'Smelter Look-up'!$J:$J,0))</f>
        <v>321</v>
      </c>
      <c r="W64" s="271"/>
      <c r="X64" s="271">
        <f t="shared" ca="1" si="7"/>
        <v>0</v>
      </c>
      <c r="Y64" s="271"/>
      <c r="Z64" s="271"/>
      <c r="AB64" s="273" t="str">
        <f t="shared" si="8"/>
        <v>TantalumF&amp;X Electro-Materials Ltd.</v>
      </c>
    </row>
    <row r="65" spans="1:28" s="272" customFormat="1" ht="20.100000000000001" customHeight="1">
      <c r="A65" s="214"/>
      <c r="B65" s="215" t="s">
        <v>1132</v>
      </c>
      <c r="C65" s="219" t="s">
        <v>4</v>
      </c>
      <c r="D65" s="278"/>
      <c r="E65" s="215" t="str">
        <f ca="1">IF(ISERROR($V65),"",OFFSET('Smelter Look-up'!$D$4,$V65-4,0)&amp;"")</f>
        <v>CHINA</v>
      </c>
      <c r="F65" s="215" t="str">
        <f ca="1">IF(ISERROR($V65),"",OFFSET('Smelter Look-up'!$E$4,$V65-4,0))</f>
        <v>CID000914</v>
      </c>
      <c r="G65" s="215" t="str">
        <f ca="1">IF(C65=$X$4,"Enter smelter details",IF(ISERROR($V65),"",OFFSET('Smelter Look-up'!$F$4,$V65-4,0)))</f>
        <v>RMI</v>
      </c>
      <c r="H65" s="216">
        <f ca="1">IF(ISERROR($V65),"",OFFSET('Smelter Look-up'!$G$4,$V65-4,0))</f>
        <v>0</v>
      </c>
      <c r="I65" s="217" t="str">
        <f ca="1">IF(ISERROR($V65),"",OFFSET('Smelter Look-up'!$H$4,$V65-4,0))</f>
        <v>Jiujiang</v>
      </c>
      <c r="J65" s="217" t="str">
        <f ca="1">IF(ISERROR($V65),"",OFFSET('Smelter Look-up'!$I$4,$V65-4,0))</f>
        <v>Jiangxi Sheng</v>
      </c>
      <c r="K65" s="268"/>
      <c r="L65" s="268"/>
      <c r="M65" s="268"/>
      <c r="N65" s="268"/>
      <c r="O65" s="268"/>
      <c r="P65" s="218"/>
      <c r="Q65" s="358" t="s">
        <v>15627</v>
      </c>
      <c r="R65" s="215" t="str">
        <f ca="1">IF(ISERROR($V65),"",OFFSET('Smelter Look-up'!$C$4,$V65-4,0)&amp;"")</f>
        <v>JiuJiang JinXin Nonferrous Metals Co., Ltd.</v>
      </c>
      <c r="S65" s="222" t="str">
        <f t="shared" ca="1" si="6"/>
        <v>CN</v>
      </c>
      <c r="T65" s="222" t="str">
        <f ca="1">IF(B65="","",IF(ISERROR(MATCH($J65,SorP!$B$1:$B$6230,0)),"",INDIRECT("'SorP'!$A$"&amp;MATCH($J65,SorP!$B$1:$B$6230,0))))</f>
        <v>CN-JX</v>
      </c>
      <c r="U65" s="238"/>
      <c r="V65" s="270">
        <f>IF(C65="",NA(),MATCH($B65&amp;$C65,'Smelter Look-up'!$J:$J,0))</f>
        <v>335</v>
      </c>
      <c r="W65" s="271"/>
      <c r="X65" s="271">
        <f t="shared" ca="1" si="7"/>
        <v>0</v>
      </c>
      <c r="Y65" s="271"/>
      <c r="Z65" s="271"/>
      <c r="AB65" s="273" t="str">
        <f t="shared" si="8"/>
        <v>TantalumJiuJiang JinXin Nonferrous Metals Co., Ltd.</v>
      </c>
    </row>
    <row r="66" spans="1:28" s="272" customFormat="1" ht="20.100000000000001" customHeight="1">
      <c r="A66" s="214"/>
      <c r="B66" s="215" t="s">
        <v>1132</v>
      </c>
      <c r="C66" s="219" t="s">
        <v>2</v>
      </c>
      <c r="D66" s="278"/>
      <c r="E66" s="215" t="str">
        <f ca="1">IF(ISERROR($V66),"",OFFSET('Smelter Look-up'!$D$4,$V66-4,0)&amp;"")</f>
        <v>CHINA</v>
      </c>
      <c r="F66" s="215" t="str">
        <f ca="1">IF(ISERROR($V66),"",OFFSET('Smelter Look-up'!$E$4,$V66-4,0))</f>
        <v>CID000211</v>
      </c>
      <c r="G66" s="215" t="str">
        <f ca="1">IF(C66=$X$4,"Enter smelter details",IF(ISERROR($V66),"",OFFSET('Smelter Look-up'!$F$4,$V66-4,0)))</f>
        <v>RMI</v>
      </c>
      <c r="H66" s="216">
        <f ca="1">IF(ISERROR($V66),"",OFFSET('Smelter Look-up'!$G$4,$V66-4,0))</f>
        <v>0</v>
      </c>
      <c r="I66" s="217" t="str">
        <f ca="1">IF(ISERROR($V66),"",OFFSET('Smelter Look-up'!$H$4,$V66-4,0))</f>
        <v>Changsha</v>
      </c>
      <c r="J66" s="217" t="str">
        <f ca="1">IF(ISERROR($V66),"",OFFSET('Smelter Look-up'!$I$4,$V66-4,0))</f>
        <v>Hunan Sheng</v>
      </c>
      <c r="K66" s="268"/>
      <c r="L66" s="268"/>
      <c r="M66" s="268"/>
      <c r="N66" s="268"/>
      <c r="O66" s="268"/>
      <c r="P66" s="218"/>
      <c r="Q66" s="358" t="s">
        <v>15628</v>
      </c>
      <c r="R66" s="215" t="str">
        <f ca="1">IF(ISERROR($V66),"",OFFSET('Smelter Look-up'!$C$4,$V66-4,0)&amp;"")</f>
        <v>Changsha South Tantalum Niobium Co., Ltd.</v>
      </c>
      <c r="S66" s="222" t="str">
        <f t="shared" ca="1" si="6"/>
        <v>CN</v>
      </c>
      <c r="T66" s="222" t="str">
        <f ca="1">IF(B66="","",IF(ISERROR(MATCH($J66,SorP!$B$1:$B$6230,0)),"",INDIRECT("'SorP'!$A$"&amp;MATCH($J66,SorP!$B$1:$B$6230,0))))</f>
        <v>CN-HN</v>
      </c>
      <c r="U66" s="238"/>
      <c r="V66" s="270">
        <f>IF(C66="",NA(),MATCH($B66&amp;$C66,'Smelter Look-up'!$J:$J,0))</f>
        <v>316</v>
      </c>
      <c r="W66" s="271"/>
      <c r="X66" s="271">
        <f t="shared" ca="1" si="7"/>
        <v>0</v>
      </c>
      <c r="Y66" s="271"/>
      <c r="Z66" s="271"/>
      <c r="AB66" s="273" t="str">
        <f t="shared" si="8"/>
        <v>TantalumChangsha South Tantalum Niobium Co., Ltd.</v>
      </c>
    </row>
    <row r="67" spans="1:28" s="272" customFormat="1" ht="20.100000000000001" customHeight="1">
      <c r="A67" s="214"/>
      <c r="B67" s="215" t="s">
        <v>1132</v>
      </c>
      <c r="C67" s="219" t="s">
        <v>2</v>
      </c>
      <c r="D67" s="278"/>
      <c r="E67" s="215" t="str">
        <f ca="1">IF(ISERROR($V67),"",OFFSET('Smelter Look-up'!$D$4,$V67-4,0)&amp;"")</f>
        <v>CHINA</v>
      </c>
      <c r="F67" s="215" t="str">
        <f ca="1">IF(ISERROR($V67),"",OFFSET('Smelter Look-up'!$E$4,$V67-4,0))</f>
        <v>CID000211</v>
      </c>
      <c r="G67" s="215" t="str">
        <f ca="1">IF(C67=$X$4,"Enter smelter details",IF(ISERROR($V67),"",OFFSET('Smelter Look-up'!$F$4,$V67-4,0)))</f>
        <v>RMI</v>
      </c>
      <c r="H67" s="216">
        <f ca="1">IF(ISERROR($V67),"",OFFSET('Smelter Look-up'!$G$4,$V67-4,0))</f>
        <v>0</v>
      </c>
      <c r="I67" s="217" t="str">
        <f ca="1">IF(ISERROR($V67),"",OFFSET('Smelter Look-up'!$H$4,$V67-4,0))</f>
        <v>Changsha</v>
      </c>
      <c r="J67" s="217" t="str">
        <f ca="1">IF(ISERROR($V67),"",OFFSET('Smelter Look-up'!$I$4,$V67-4,0))</f>
        <v>Hunan Sheng</v>
      </c>
      <c r="K67" s="268"/>
      <c r="L67" s="268"/>
      <c r="M67" s="268"/>
      <c r="N67" s="268"/>
      <c r="O67" s="268"/>
      <c r="P67" s="218"/>
      <c r="Q67" s="358" t="s">
        <v>15629</v>
      </c>
      <c r="R67" s="215" t="str">
        <f ca="1">IF(ISERROR($V67),"",OFFSET('Smelter Look-up'!$C$4,$V67-4,0)&amp;"")</f>
        <v>Changsha South Tantalum Niobium Co., Ltd.</v>
      </c>
      <c r="S67" s="222" t="str">
        <f t="shared" ca="1" si="6"/>
        <v>CN</v>
      </c>
      <c r="T67" s="222" t="str">
        <f ca="1">IF(B67="","",IF(ISERROR(MATCH($J67,SorP!$B$1:$B$6230,0)),"",INDIRECT("'SorP'!$A$"&amp;MATCH($J67,SorP!$B$1:$B$6230,0))))</f>
        <v>CN-HN</v>
      </c>
      <c r="U67" s="238"/>
      <c r="V67" s="270">
        <f>IF(C67="",NA(),MATCH($B67&amp;$C67,'Smelter Look-up'!$J:$J,0))</f>
        <v>316</v>
      </c>
      <c r="W67" s="271"/>
      <c r="X67" s="271">
        <f t="shared" ca="1" si="7"/>
        <v>0</v>
      </c>
      <c r="Y67" s="271"/>
      <c r="Z67" s="271"/>
      <c r="AB67" s="273" t="str">
        <f t="shared" si="8"/>
        <v>TantalumChangsha South Tantalum Niobium Co., Ltd.</v>
      </c>
    </row>
    <row r="68" spans="1:28" s="272" customFormat="1" ht="20.100000000000001" customHeight="1">
      <c r="A68" s="214"/>
      <c r="B68" s="215" t="s">
        <v>1131</v>
      </c>
      <c r="C68" s="219" t="s">
        <v>1032</v>
      </c>
      <c r="D68" s="278"/>
      <c r="E68" s="215" t="str">
        <f ca="1">IF(ISERROR($V68),"",OFFSET('Smelter Look-up'!$D$4,$V68-4,0)&amp;"")</f>
        <v>INDONESIA</v>
      </c>
      <c r="F68" s="215" t="str">
        <f ca="1">IF(ISERROR($V68),"",OFFSET('Smelter Look-up'!$E$4,$V68-4,0))</f>
        <v>CID001477</v>
      </c>
      <c r="G68" s="215" t="str">
        <f ca="1">IF(C68=$X$4,"Enter smelter details",IF(ISERROR($V68),"",OFFSET('Smelter Look-up'!$F$4,$V68-4,0)))</f>
        <v>RMI</v>
      </c>
      <c r="H68" s="216">
        <f ca="1">IF(ISERROR($V68),"",OFFSET('Smelter Look-up'!$G$4,$V68-4,0))</f>
        <v>0</v>
      </c>
      <c r="I68" s="217" t="str">
        <f ca="1">IF(ISERROR($V68),"",OFFSET('Smelter Look-up'!$H$4,$V68-4,0))</f>
        <v>Kundur</v>
      </c>
      <c r="J68" s="217" t="str">
        <f ca="1">IF(ISERROR($V68),"",OFFSET('Smelter Look-up'!$I$4,$V68-4,0))</f>
        <v>Riau</v>
      </c>
      <c r="K68" s="268"/>
      <c r="L68" s="268"/>
      <c r="M68" s="268"/>
      <c r="N68" s="268"/>
      <c r="O68" s="268"/>
      <c r="P68" s="218"/>
      <c r="Q68" s="358" t="s">
        <v>15630</v>
      </c>
      <c r="R68" s="215" t="str">
        <f ca="1">IF(ISERROR($V68),"",OFFSET('Smelter Look-up'!$C$4,$V68-4,0)&amp;"")</f>
        <v>PT Timah Tbk Kundur</v>
      </c>
      <c r="S68" s="222" t="str">
        <f t="shared" ca="1" si="6"/>
        <v>ID</v>
      </c>
      <c r="T68" s="222" t="str">
        <f ca="1">IF(B68="","",IF(ISERROR(MATCH($J68,SorP!$B$1:$B$6230,0)),"",INDIRECT("'SorP'!$A$"&amp;MATCH($J68,SorP!$B$1:$B$6230,0))))</f>
        <v>ID-RI</v>
      </c>
      <c r="U68" s="238"/>
      <c r="V68" s="270">
        <f>IF(C68="",NA(),MATCH($B68&amp;$C68,'Smelter Look-up'!$J:$J,0))</f>
        <v>489</v>
      </c>
      <c r="W68" s="271"/>
      <c r="X68" s="271">
        <f t="shared" ca="1" si="7"/>
        <v>0</v>
      </c>
      <c r="Y68" s="271"/>
      <c r="Z68" s="271"/>
      <c r="AB68" s="273" t="str">
        <f t="shared" si="8"/>
        <v>TinPT Tambang Timah</v>
      </c>
    </row>
    <row r="69" spans="1:28" s="272" customFormat="1" ht="20.100000000000001" customHeight="1">
      <c r="A69" s="214"/>
      <c r="B69" s="215" t="s">
        <v>1131</v>
      </c>
      <c r="C69" s="219" t="s">
        <v>14026</v>
      </c>
      <c r="D69" s="278"/>
      <c r="E69" s="215" t="str">
        <f ca="1">IF(ISERROR($V69),"",OFFSET('Smelter Look-up'!$D$4,$V69-4,0)&amp;"")</f>
        <v>INDONESIA</v>
      </c>
      <c r="F69" s="215" t="str">
        <f ca="1">IF(ISERROR($V69),"",OFFSET('Smelter Look-up'!$E$4,$V69-4,0))</f>
        <v>CID001477</v>
      </c>
      <c r="G69" s="215" t="str">
        <f ca="1">IF(C69=$X$4,"Enter smelter details",IF(ISERROR($V69),"",OFFSET('Smelter Look-up'!$F$4,$V69-4,0)))</f>
        <v>RMI</v>
      </c>
      <c r="H69" s="216">
        <f ca="1">IF(ISERROR($V69),"",OFFSET('Smelter Look-up'!$G$4,$V69-4,0))</f>
        <v>0</v>
      </c>
      <c r="I69" s="217" t="str">
        <f ca="1">IF(ISERROR($V69),"",OFFSET('Smelter Look-up'!$H$4,$V69-4,0))</f>
        <v>Kundur</v>
      </c>
      <c r="J69" s="217" t="str">
        <f ca="1">IF(ISERROR($V69),"",OFFSET('Smelter Look-up'!$I$4,$V69-4,0))</f>
        <v>Riau</v>
      </c>
      <c r="K69" s="268"/>
      <c r="L69" s="268"/>
      <c r="M69" s="268"/>
      <c r="N69" s="268"/>
      <c r="O69" s="268"/>
      <c r="P69" s="218"/>
      <c r="Q69" s="358" t="s">
        <v>15630</v>
      </c>
      <c r="R69" s="215" t="str">
        <f ca="1">IF(ISERROR($V69),"",OFFSET('Smelter Look-up'!$C$4,$V69-4,0)&amp;"")</f>
        <v>PT Timah Tbk Kundur</v>
      </c>
      <c r="S69" s="222" t="str">
        <f t="shared" ref="S69" ca="1" si="9">IF(B69="","",IF(ISERROR(MATCH($E69,CL,0)),"Unknown",INDIRECT("'C'!$A$"&amp;MATCH($E69,CL,0)+1)))</f>
        <v>ID</v>
      </c>
      <c r="T69" s="222" t="str">
        <f ca="1">IF(B69="","",IF(ISERROR(MATCH($J69,SorP!$B$1:$B$6230,0)),"",INDIRECT("'SorP'!$A$"&amp;MATCH($J69,SorP!$B$1:$B$6230,0))))</f>
        <v>ID-RI</v>
      </c>
      <c r="U69" s="238"/>
      <c r="V69" s="270">
        <f>IF(C69="",NA(),MATCH($B69&amp;$C69,'Smelter Look-up'!$J:$J,0))</f>
        <v>491</v>
      </c>
      <c r="W69" s="271"/>
      <c r="X69" s="271">
        <f t="shared" ref="X69" ca="1" si="10">IF(AND(C69="Smelter not listed",OR(LEN(D69)=0,LEN(E69)=0)),1,0)</f>
        <v>0</v>
      </c>
      <c r="Y69" s="271"/>
      <c r="Z69" s="271"/>
      <c r="AB69" s="273" t="str">
        <f t="shared" ref="AB69" si="11">B69&amp;C69</f>
        <v>TinPT Timah Tbk Kundur</v>
      </c>
    </row>
    <row r="70" spans="1:28" s="272" customFormat="1" ht="20.100000000000001" customHeight="1">
      <c r="A70" s="214"/>
      <c r="B70" s="215" t="s">
        <v>1131</v>
      </c>
      <c r="C70" s="219" t="s">
        <v>14025</v>
      </c>
      <c r="D70" s="278"/>
      <c r="E70" s="215" t="str">
        <f ca="1">IF(ISERROR($V70),"",OFFSET('Smelter Look-up'!$D$4,$V70-4,0)&amp;"")</f>
        <v>INDONESIA</v>
      </c>
      <c r="F70" s="215" t="str">
        <f ca="1">IF(ISERROR($V70),"",OFFSET('Smelter Look-up'!$E$4,$V70-4,0))</f>
        <v>CID001482</v>
      </c>
      <c r="G70" s="215" t="str">
        <f ca="1">IF(C70=$X$4,"Enter smelter details",IF(ISERROR($V70),"",OFFSET('Smelter Look-up'!$F$4,$V70-4,0)))</f>
        <v>RMI</v>
      </c>
      <c r="H70" s="216">
        <f ca="1">IF(ISERROR($V70),"",OFFSET('Smelter Look-up'!$G$4,$V70-4,0))</f>
        <v>0</v>
      </c>
      <c r="I70" s="217" t="str">
        <f ca="1">IF(ISERROR($V70),"",OFFSET('Smelter Look-up'!$H$4,$V70-4,0))</f>
        <v>Mentok</v>
      </c>
      <c r="J70" s="217" t="str">
        <f ca="1">IF(ISERROR($V70),"",OFFSET('Smelter Look-up'!$I$4,$V70-4,0))</f>
        <v>Kepulauan Bangka Belitung</v>
      </c>
      <c r="K70" s="268"/>
      <c r="L70" s="268"/>
      <c r="M70" s="268"/>
      <c r="N70" s="268"/>
      <c r="O70" s="268"/>
      <c r="P70" s="218"/>
      <c r="Q70" s="358" t="s">
        <v>15630</v>
      </c>
      <c r="R70" s="215" t="str">
        <f ca="1">IF(ISERROR($V70),"",OFFSET('Smelter Look-up'!$C$4,$V70-4,0)&amp;"")</f>
        <v>PT Timah Tbk Mentok</v>
      </c>
      <c r="S70" s="222" t="str">
        <f t="shared" ref="S70:S101" ca="1" si="12">IF(B70="","",IF(ISERROR(MATCH($E70,CL,0)),"Unknown",INDIRECT("'C'!$A$"&amp;MATCH($E70,CL,0)+1)))</f>
        <v>ID</v>
      </c>
      <c r="T70" s="222" t="str">
        <f ca="1">IF(B70="","",IF(ISERROR(MATCH($J70,SorP!$B$1:$B$6230,0)),"",INDIRECT("'SorP'!$A$"&amp;MATCH($J70,SorP!$B$1:$B$6230,0))))</f>
        <v>ID-BB</v>
      </c>
      <c r="U70" s="238"/>
      <c r="V70" s="270">
        <f>IF(C70="",NA(),MATCH($B70&amp;$C70,'Smelter Look-up'!$J:$J,0))</f>
        <v>492</v>
      </c>
      <c r="W70" s="271"/>
      <c r="X70" s="271">
        <f t="shared" ref="X70:X101" ca="1" si="13">IF(AND(C70="Smelter not listed",OR(LEN(D70)=0,LEN(E70)=0)),1,0)</f>
        <v>0</v>
      </c>
      <c r="Y70" s="271"/>
      <c r="Z70" s="271"/>
      <c r="AB70" s="273" t="str">
        <f t="shared" ref="AB70:AB101" si="14">B70&amp;C70</f>
        <v>TinPT Timah Tbk Mentok</v>
      </c>
    </row>
    <row r="71" spans="1:28" s="272" customFormat="1" ht="20.100000000000001" customHeight="1">
      <c r="A71" s="214"/>
      <c r="B71" s="215" t="s">
        <v>1131</v>
      </c>
      <c r="C71" s="219" t="s">
        <v>1805</v>
      </c>
      <c r="D71" s="278"/>
      <c r="E71" s="215" t="str">
        <f ca="1">IF(ISERROR($V71),"",OFFSET('Smelter Look-up'!$D$4,$V71-4,0)&amp;"")</f>
        <v>INDONESIA</v>
      </c>
      <c r="F71" s="215" t="str">
        <f ca="1">IF(ISERROR($V71),"",OFFSET('Smelter Look-up'!$E$4,$V71-4,0))</f>
        <v>CID001460</v>
      </c>
      <c r="G71" s="215" t="str">
        <f ca="1">IF(C71=$X$4,"Enter smelter details",IF(ISERROR($V71),"",OFFSET('Smelter Look-up'!$F$4,$V71-4,0)))</f>
        <v>RMI</v>
      </c>
      <c r="H71" s="216">
        <f ca="1">IF(ISERROR($V71),"",OFFSET('Smelter Look-up'!$G$4,$V71-4,0))</f>
        <v>0</v>
      </c>
      <c r="I71" s="217" t="str">
        <f ca="1">IF(ISERROR($V71),"",OFFSET('Smelter Look-up'!$H$4,$V71-4,0))</f>
        <v>Sungailiat</v>
      </c>
      <c r="J71" s="217" t="str">
        <f ca="1">IF(ISERROR($V71),"",OFFSET('Smelter Look-up'!$I$4,$V71-4,0))</f>
        <v>Kepulauan Bangka Belitung</v>
      </c>
      <c r="K71" s="268"/>
      <c r="L71" s="268"/>
      <c r="M71" s="268"/>
      <c r="N71" s="268"/>
      <c r="O71" s="268"/>
      <c r="P71" s="218"/>
      <c r="Q71" s="358" t="s">
        <v>15630</v>
      </c>
      <c r="R71" s="215" t="str">
        <f ca="1">IF(ISERROR($V71),"",OFFSET('Smelter Look-up'!$C$4,$V71-4,0)&amp;"")</f>
        <v>PT Refined Bangka Tin</v>
      </c>
      <c r="S71" s="222" t="str">
        <f t="shared" ca="1" si="12"/>
        <v>ID</v>
      </c>
      <c r="T71" s="222" t="str">
        <f ca="1">IF(B71="","",IF(ISERROR(MATCH($J71,SorP!$B$1:$B$6230,0)),"",INDIRECT("'SorP'!$A$"&amp;MATCH($J71,SorP!$B$1:$B$6230,0))))</f>
        <v>ID-BB</v>
      </c>
      <c r="U71" s="238"/>
      <c r="V71" s="270">
        <f>IF(C71="",NA(),MATCH($B71&amp;$C71,'Smelter Look-up'!$J:$J,0))</f>
        <v>389</v>
      </c>
      <c r="W71" s="271"/>
      <c r="X71" s="271">
        <f t="shared" ca="1" si="13"/>
        <v>0</v>
      </c>
      <c r="Y71" s="271"/>
      <c r="Z71" s="271"/>
      <c r="AB71" s="273" t="str">
        <f t="shared" si="14"/>
        <v>TinBrand RBT</v>
      </c>
    </row>
    <row r="72" spans="1:28" s="272" customFormat="1" ht="38.25">
      <c r="A72" s="214"/>
      <c r="B72" s="215" t="s">
        <v>1131</v>
      </c>
      <c r="C72" s="219" t="s">
        <v>40</v>
      </c>
      <c r="D72" s="278"/>
      <c r="E72" s="215" t="str">
        <f ca="1">IF(ISERROR($V72),"",OFFSET('Smelter Look-up'!$D$4,$V72-4,0)&amp;"")</f>
        <v>BOLIVIA (PLURINATIONAL STATE OF)</v>
      </c>
      <c r="F72" s="215" t="str">
        <f ca="1">IF(ISERROR($V72),"",OFFSET('Smelter Look-up'!$E$4,$V72-4,0))</f>
        <v>CID000438</v>
      </c>
      <c r="G72" s="215" t="str">
        <f ca="1">IF(C72=$X$4,"Enter smelter details",IF(ISERROR($V72),"",OFFSET('Smelter Look-up'!$F$4,$V72-4,0)))</f>
        <v>RMI</v>
      </c>
      <c r="H72" s="216">
        <f ca="1">IF(ISERROR($V72),"",OFFSET('Smelter Look-up'!$G$4,$V72-4,0))</f>
        <v>0</v>
      </c>
      <c r="I72" s="217" t="str">
        <f ca="1">IF(ISERROR($V72),"",OFFSET('Smelter Look-up'!$H$4,$V72-4,0))</f>
        <v>Oruro</v>
      </c>
      <c r="J72" s="217" t="str">
        <f ca="1">IF(ISERROR($V72),"",OFFSET('Smelter Look-up'!$I$4,$V72-4,0))</f>
        <v>Oruro</v>
      </c>
      <c r="K72" s="268"/>
      <c r="L72" s="268"/>
      <c r="M72" s="268"/>
      <c r="N72" s="268"/>
      <c r="O72" s="268"/>
      <c r="P72" s="218"/>
      <c r="Q72" s="358" t="s">
        <v>15630</v>
      </c>
      <c r="R72" s="215" t="str">
        <f ca="1">IF(ISERROR($V72),"",OFFSET('Smelter Look-up'!$C$4,$V72-4,0)&amp;"")</f>
        <v>EM Vinto</v>
      </c>
      <c r="S72" s="222" t="str">
        <f t="shared" ca="1" si="12"/>
        <v>BO</v>
      </c>
      <c r="T72" s="222" t="str">
        <f ca="1">IF(B72="","",IF(ISERROR(MATCH($J72,SorP!$B$1:$B$6230,0)),"",INDIRECT("'SorP'!$A$"&amp;MATCH($J72,SorP!$B$1:$B$6230,0))))</f>
        <v>BO-O</v>
      </c>
      <c r="U72" s="238"/>
      <c r="V72" s="270">
        <f>IF(C72="",NA(),MATCH($B72&amp;$C72,'Smelter Look-up'!$J:$J,0))</f>
        <v>415</v>
      </c>
      <c r="W72" s="271"/>
      <c r="X72" s="271">
        <f t="shared" ca="1" si="13"/>
        <v>0</v>
      </c>
      <c r="Y72" s="271"/>
      <c r="Z72" s="271"/>
      <c r="AB72" s="273" t="str">
        <f t="shared" si="14"/>
        <v>TinENAF</v>
      </c>
    </row>
    <row r="73" spans="1:28" s="272" customFormat="1" ht="20.100000000000001" customHeight="1">
      <c r="A73" s="214"/>
      <c r="B73" s="215" t="s">
        <v>1131</v>
      </c>
      <c r="C73" s="219" t="s">
        <v>2178</v>
      </c>
      <c r="D73" s="278"/>
      <c r="E73" s="215" t="str">
        <f ca="1">IF(ISERROR($V73),"",OFFSET('Smelter Look-up'!$D$4,$V73-4,0)&amp;"")</f>
        <v>BRAZIL</v>
      </c>
      <c r="F73" s="215" t="str">
        <f ca="1">IF(ISERROR($V73),"",OFFSET('Smelter Look-up'!$E$4,$V73-4,0))</f>
        <v>CID001758</v>
      </c>
      <c r="G73" s="215" t="str">
        <f ca="1">IF(C73=$X$4,"Enter smelter details",IF(ISERROR($V73),"",OFFSET('Smelter Look-up'!$F$4,$V73-4,0)))</f>
        <v>RMI</v>
      </c>
      <c r="H73" s="216">
        <f ca="1">IF(ISERROR($V73),"",OFFSET('Smelter Look-up'!$G$4,$V73-4,0))</f>
        <v>0</v>
      </c>
      <c r="I73" s="217" t="str">
        <f ca="1">IF(ISERROR($V73),"",OFFSET('Smelter Look-up'!$H$4,$V73-4,0))</f>
        <v>Bebedouro</v>
      </c>
      <c r="J73" s="217" t="str">
        <f ca="1">IF(ISERROR($V73),"",OFFSET('Smelter Look-up'!$I$4,$V73-4,0))</f>
        <v>São Paulo</v>
      </c>
      <c r="K73" s="268"/>
      <c r="L73" s="268"/>
      <c r="M73" s="268"/>
      <c r="N73" s="268"/>
      <c r="O73" s="268"/>
      <c r="P73" s="218"/>
      <c r="Q73" s="358" t="s">
        <v>15630</v>
      </c>
      <c r="R73" s="215" t="str">
        <f ca="1">IF(ISERROR($V73),"",OFFSET('Smelter Look-up'!$C$4,$V73-4,0)&amp;"")</f>
        <v>Soft Metais Ltda.</v>
      </c>
      <c r="S73" s="222" t="str">
        <f t="shared" ca="1" si="12"/>
        <v>BR</v>
      </c>
      <c r="T73" s="222" t="str">
        <f ca="1">IF(B73="","",IF(ISERROR(MATCH($J73,SorP!$B$1:$B$6230,0)),"",INDIRECT("'SorP'!$A$"&amp;MATCH($J73,SorP!$B$1:$B$6230,0))))</f>
        <v>BR-SP</v>
      </c>
      <c r="U73" s="238"/>
      <c r="V73" s="270">
        <f>IF(C73="",NA(),MATCH($B73&amp;$C73,'Smelter Look-up'!$J:$J,0))</f>
        <v>499</v>
      </c>
      <c r="W73" s="271"/>
      <c r="X73" s="271">
        <f t="shared" ca="1" si="13"/>
        <v>0</v>
      </c>
      <c r="Y73" s="271"/>
      <c r="Z73" s="271"/>
      <c r="AB73" s="273" t="str">
        <f t="shared" si="14"/>
        <v>TinSoft Metais Ltda.</v>
      </c>
    </row>
    <row r="74" spans="1:28" s="272" customFormat="1" ht="20.100000000000001" customHeight="1">
      <c r="A74" s="214"/>
      <c r="B74" s="215" t="s">
        <v>1131</v>
      </c>
      <c r="C74" s="219" t="s">
        <v>815</v>
      </c>
      <c r="D74" s="278"/>
      <c r="E74" s="215" t="str">
        <f ca="1">IF(ISERROR($V74),"",OFFSET('Smelter Look-up'!$D$4,$V74-4,0)&amp;"")</f>
        <v>POLAND</v>
      </c>
      <c r="F74" s="215" t="str">
        <f ca="1">IF(ISERROR($V74),"",OFFSET('Smelter Look-up'!$E$4,$V74-4,0))</f>
        <v>CID000468</v>
      </c>
      <c r="G74" s="215" t="str">
        <f ca="1">IF(C74=$X$4,"Enter smelter details",IF(ISERROR($V74),"",OFFSET('Smelter Look-up'!$F$4,$V74-4,0)))</f>
        <v>RMI</v>
      </c>
      <c r="H74" s="216">
        <f ca="1">IF(ISERROR($V74),"",OFFSET('Smelter Look-up'!$G$4,$V74-4,0))</f>
        <v>0</v>
      </c>
      <c r="I74" s="217" t="str">
        <f ca="1">IF(ISERROR($V74),"",OFFSET('Smelter Look-up'!$H$4,$V74-4,0))</f>
        <v>Chmielów</v>
      </c>
      <c r="J74" s="217" t="str">
        <f ca="1">IF(ISERROR($V74),"",OFFSET('Smelter Look-up'!$I$4,$V74-4,0))</f>
        <v>Podkarpackie</v>
      </c>
      <c r="K74" s="268"/>
      <c r="L74" s="268"/>
      <c r="M74" s="268"/>
      <c r="N74" s="268"/>
      <c r="O74" s="268"/>
      <c r="P74" s="218"/>
      <c r="Q74" s="358" t="s">
        <v>15630</v>
      </c>
      <c r="R74" s="215" t="str">
        <f ca="1">IF(ISERROR($V74),"",OFFSET('Smelter Look-up'!$C$4,$V74-4,0)&amp;"")</f>
        <v>Fenix Metals</v>
      </c>
      <c r="S74" s="222" t="str">
        <f t="shared" ca="1" si="12"/>
        <v>PL</v>
      </c>
      <c r="T74" s="222" t="str">
        <f ca="1">IF(B74="","",IF(ISERROR(MATCH($J74,SorP!$B$1:$B$6230,0)),"",INDIRECT("'SorP'!$A$"&amp;MATCH($J74,SorP!$B$1:$B$6230,0))))</f>
        <v>PL-18</v>
      </c>
      <c r="U74" s="238"/>
      <c r="V74" s="270">
        <f>IF(C74="",NA(),MATCH($B74&amp;$C74,'Smelter Look-up'!$J:$J,0))</f>
        <v>421</v>
      </c>
      <c r="W74" s="271"/>
      <c r="X74" s="271">
        <f t="shared" ca="1" si="13"/>
        <v>0</v>
      </c>
      <c r="Y74" s="271"/>
      <c r="Z74" s="271"/>
      <c r="AB74" s="273" t="str">
        <f t="shared" si="14"/>
        <v>TinFenix Metals</v>
      </c>
    </row>
    <row r="75" spans="1:28" s="272" customFormat="1" ht="20.100000000000001" customHeight="1">
      <c r="A75" s="214"/>
      <c r="B75" s="215" t="s">
        <v>1131</v>
      </c>
      <c r="C75" s="219" t="s">
        <v>13149</v>
      </c>
      <c r="D75" s="278"/>
      <c r="E75" s="215" t="str">
        <f ca="1">IF(ISERROR($V75),"",OFFSET('Smelter Look-up'!$D$4,$V75-4,0)&amp;"")</f>
        <v>BELGIUM</v>
      </c>
      <c r="F75" s="215" t="str">
        <f ca="1">IF(ISERROR($V75),"",OFFSET('Smelter Look-up'!$E$4,$V75-4,0))</f>
        <v>CID002773</v>
      </c>
      <c r="G75" s="215" t="str">
        <f ca="1">IF(C75=$X$4,"Enter smelter details",IF(ISERROR($V75),"",OFFSET('Smelter Look-up'!$F$4,$V75-4,0)))</f>
        <v>RMI</v>
      </c>
      <c r="H75" s="216">
        <f ca="1">IF(ISERROR($V75),"",OFFSET('Smelter Look-up'!$G$4,$V75-4,0))</f>
        <v>0</v>
      </c>
      <c r="I75" s="217" t="str">
        <f ca="1">IF(ISERROR($V75),"",OFFSET('Smelter Look-up'!$H$4,$V75-4,0))</f>
        <v>Beerse</v>
      </c>
      <c r="J75" s="217" t="str">
        <f ca="1">IF(ISERROR($V75),"",OFFSET('Smelter Look-up'!$I$4,$V75-4,0))</f>
        <v>Antwerpen</v>
      </c>
      <c r="K75" s="268"/>
      <c r="L75" s="268"/>
      <c r="M75" s="268"/>
      <c r="N75" s="268"/>
      <c r="O75" s="268"/>
      <c r="P75" s="218"/>
      <c r="Q75" s="358" t="s">
        <v>15630</v>
      </c>
      <c r="R75" s="215" t="str">
        <f ca="1">IF(ISERROR($V75),"",OFFSET('Smelter Look-up'!$C$4,$V75-4,0)&amp;"")</f>
        <v>Metallo Belgium N.V.</v>
      </c>
      <c r="S75" s="222" t="str">
        <f t="shared" ca="1" si="12"/>
        <v>BE</v>
      </c>
      <c r="T75" s="222" t="str">
        <f ca="1">IF(B75="","",IF(ISERROR(MATCH($J75,SorP!$B$1:$B$6230,0)),"",INDIRECT("'SorP'!$A$"&amp;MATCH($J75,SorP!$B$1:$B$6230,0))))</f>
        <v>BE-VAN</v>
      </c>
      <c r="U75" s="238"/>
      <c r="V75" s="270">
        <f>IF(C75="",NA(),MATCH($B75&amp;$C75,'Smelter Look-up'!$J:$J,0))</f>
        <v>454</v>
      </c>
      <c r="W75" s="271"/>
      <c r="X75" s="271">
        <f t="shared" ca="1" si="13"/>
        <v>0</v>
      </c>
      <c r="Y75" s="271"/>
      <c r="Z75" s="271"/>
      <c r="AB75" s="273" t="str">
        <f t="shared" si="14"/>
        <v>TinMetallo Belgium N.V.</v>
      </c>
    </row>
    <row r="76" spans="1:28" s="272" customFormat="1" ht="20.100000000000001" customHeight="1">
      <c r="A76" s="214"/>
      <c r="B76" s="215" t="s">
        <v>1131</v>
      </c>
      <c r="C76" s="219" t="s">
        <v>1034</v>
      </c>
      <c r="D76" s="278"/>
      <c r="E76" s="215" t="str">
        <f ca="1">IF(ISERROR($V76),"",OFFSET('Smelter Look-up'!$D$4,$V76-4,0)&amp;"")</f>
        <v>PERU</v>
      </c>
      <c r="F76" s="215" t="str">
        <f ca="1">IF(ISERROR($V76),"",OFFSET('Smelter Look-up'!$E$4,$V76-4,0))</f>
        <v>CID001182</v>
      </c>
      <c r="G76" s="215" t="str">
        <f ca="1">IF(C76=$X$4,"Enter smelter details",IF(ISERROR($V76),"",OFFSET('Smelter Look-up'!$F$4,$V76-4,0)))</f>
        <v>RMI</v>
      </c>
      <c r="H76" s="216">
        <f ca="1">IF(ISERROR($V76),"",OFFSET('Smelter Look-up'!$G$4,$V76-4,0))</f>
        <v>0</v>
      </c>
      <c r="I76" s="217" t="str">
        <f ca="1">IF(ISERROR($V76),"",OFFSET('Smelter Look-up'!$H$4,$V76-4,0))</f>
        <v>Paracas</v>
      </c>
      <c r="J76" s="217" t="str">
        <f ca="1">IF(ISERROR($V76),"",OFFSET('Smelter Look-up'!$I$4,$V76-4,0))</f>
        <v>Ika</v>
      </c>
      <c r="K76" s="268"/>
      <c r="L76" s="268"/>
      <c r="M76" s="268"/>
      <c r="N76" s="268"/>
      <c r="O76" s="268"/>
      <c r="P76" s="218"/>
      <c r="Q76" s="358" t="s">
        <v>15630</v>
      </c>
      <c r="R76" s="215" t="str">
        <f ca="1">IF(ISERROR($V76),"",OFFSET('Smelter Look-up'!$C$4,$V76-4,0)&amp;"")</f>
        <v>Minsur</v>
      </c>
      <c r="S76" s="222" t="str">
        <f t="shared" ca="1" si="12"/>
        <v>PE</v>
      </c>
      <c r="T76" s="222" t="str">
        <f ca="1">IF(B76="","",IF(ISERROR(MATCH($J76,SorP!$B$1:$B$6230,0)),"",INDIRECT("'SorP'!$A$"&amp;MATCH($J76,SorP!$B$1:$B$6230,0))))</f>
        <v>PE-ICA</v>
      </c>
      <c r="U76" s="238"/>
      <c r="V76" s="270">
        <f>IF(C76="",NA(),MATCH($B76&amp;$C76,'Smelter Look-up'!$J:$J,0))</f>
        <v>460</v>
      </c>
      <c r="W76" s="271"/>
      <c r="X76" s="271">
        <f t="shared" ca="1" si="13"/>
        <v>0</v>
      </c>
      <c r="Y76" s="271"/>
      <c r="Z76" s="271"/>
      <c r="AB76" s="273" t="str">
        <f t="shared" si="14"/>
        <v>TinMinsur</v>
      </c>
    </row>
    <row r="77" spans="1:28" s="272" customFormat="1" ht="20.100000000000001" customHeight="1">
      <c r="A77" s="214"/>
      <c r="B77" s="215" t="s">
        <v>1131</v>
      </c>
      <c r="C77" s="219" t="s">
        <v>2252</v>
      </c>
      <c r="D77" s="278"/>
      <c r="E77" s="215" t="str">
        <f ca="1">IF(ISERROR($V77),"",OFFSET('Smelter Look-up'!$D$4,$V77-4,0)&amp;"")</f>
        <v>MALAYSIA</v>
      </c>
      <c r="F77" s="215" t="str">
        <f ca="1">IF(ISERROR($V77),"",OFFSET('Smelter Look-up'!$E$4,$V77-4,0))</f>
        <v>CID001105</v>
      </c>
      <c r="G77" s="215" t="str">
        <f ca="1">IF(C77=$X$4,"Enter smelter details",IF(ISERROR($V77),"",OFFSET('Smelter Look-up'!$F$4,$V77-4,0)))</f>
        <v>RMI</v>
      </c>
      <c r="H77" s="216">
        <f ca="1">IF(ISERROR($V77),"",OFFSET('Smelter Look-up'!$G$4,$V77-4,0))</f>
        <v>0</v>
      </c>
      <c r="I77" s="217" t="str">
        <f ca="1">IF(ISERROR($V77),"",OFFSET('Smelter Look-up'!$H$4,$V77-4,0))</f>
        <v>Butterworth</v>
      </c>
      <c r="J77" s="217" t="str">
        <f ca="1">IF(ISERROR($V77),"",OFFSET('Smelter Look-up'!$I$4,$V77-4,0))</f>
        <v>Pulau Pinang</v>
      </c>
      <c r="K77" s="268"/>
      <c r="L77" s="268"/>
      <c r="M77" s="268"/>
      <c r="N77" s="268"/>
      <c r="O77" s="268"/>
      <c r="P77" s="218"/>
      <c r="Q77" s="358" t="s">
        <v>15630</v>
      </c>
      <c r="R77" s="215" t="str">
        <f ca="1">IF(ISERROR($V77),"",OFFSET('Smelter Look-up'!$C$4,$V77-4,0)&amp;"")</f>
        <v>Malaysia Smelting Corporation (MSC)</v>
      </c>
      <c r="S77" s="222" t="str">
        <f t="shared" ca="1" si="12"/>
        <v>MY</v>
      </c>
      <c r="T77" s="222" t="str">
        <f ca="1">IF(B77="","",IF(ISERROR(MATCH($J77,SorP!$B$1:$B$6230,0)),"",INDIRECT("'SorP'!$A$"&amp;MATCH($J77,SorP!$B$1:$B$6230,0))))</f>
        <v>MY-07</v>
      </c>
      <c r="U77" s="238"/>
      <c r="V77" s="270">
        <f>IF(C77="",NA(),MATCH($B77&amp;$C77,'Smelter Look-up'!$J:$J,0))</f>
        <v>463</v>
      </c>
      <c r="W77" s="271"/>
      <c r="X77" s="271">
        <f t="shared" ca="1" si="13"/>
        <v>0</v>
      </c>
      <c r="Y77" s="271"/>
      <c r="Z77" s="271"/>
      <c r="AB77" s="273" t="str">
        <f t="shared" si="14"/>
        <v>TinMSC</v>
      </c>
    </row>
    <row r="78" spans="1:28" s="272" customFormat="1" ht="20.100000000000001" customHeight="1">
      <c r="A78" s="214"/>
      <c r="B78" s="215" t="s">
        <v>1131</v>
      </c>
      <c r="C78" s="219" t="s">
        <v>1032</v>
      </c>
      <c r="D78" s="278"/>
      <c r="E78" s="215" t="str">
        <f ca="1">IF(ISERROR($V78),"",OFFSET('Smelter Look-up'!$D$4,$V78-4,0)&amp;"")</f>
        <v>INDONESIA</v>
      </c>
      <c r="F78" s="215" t="str">
        <f ca="1">IF(ISERROR($V78),"",OFFSET('Smelter Look-up'!$E$4,$V78-4,0))</f>
        <v>CID001477</v>
      </c>
      <c r="G78" s="215" t="str">
        <f ca="1">IF(C78=$X$4,"Enter smelter details",IF(ISERROR($V78),"",OFFSET('Smelter Look-up'!$F$4,$V78-4,0)))</f>
        <v>RMI</v>
      </c>
      <c r="H78" s="216">
        <f ca="1">IF(ISERROR($V78),"",OFFSET('Smelter Look-up'!$G$4,$V78-4,0))</f>
        <v>0</v>
      </c>
      <c r="I78" s="217" t="str">
        <f ca="1">IF(ISERROR($V78),"",OFFSET('Smelter Look-up'!$H$4,$V78-4,0))</f>
        <v>Kundur</v>
      </c>
      <c r="J78" s="217" t="str">
        <f ca="1">IF(ISERROR($V78),"",OFFSET('Smelter Look-up'!$I$4,$V78-4,0))</f>
        <v>Riau</v>
      </c>
      <c r="K78" s="268"/>
      <c r="L78" s="268"/>
      <c r="M78" s="268"/>
      <c r="N78" s="268"/>
      <c r="O78" s="268"/>
      <c r="P78" s="218"/>
      <c r="Q78" s="358" t="s">
        <v>15631</v>
      </c>
      <c r="R78" s="215" t="str">
        <f ca="1">IF(ISERROR($V78),"",OFFSET('Smelter Look-up'!$C$4,$V78-4,0)&amp;"")</f>
        <v>PT Timah Tbk Kundur</v>
      </c>
      <c r="S78" s="222" t="str">
        <f t="shared" ca="1" si="12"/>
        <v>ID</v>
      </c>
      <c r="T78" s="222" t="str">
        <f ca="1">IF(B78="","",IF(ISERROR(MATCH($J78,SorP!$B$1:$B$6230,0)),"",INDIRECT("'SorP'!$A$"&amp;MATCH($J78,SorP!$B$1:$B$6230,0))))</f>
        <v>ID-RI</v>
      </c>
      <c r="U78" s="238"/>
      <c r="V78" s="270">
        <f>IF(C78="",NA(),MATCH($B78&amp;$C78,'Smelter Look-up'!$J:$J,0))</f>
        <v>489</v>
      </c>
      <c r="W78" s="271"/>
      <c r="X78" s="271">
        <f t="shared" ca="1" si="13"/>
        <v>0</v>
      </c>
      <c r="Y78" s="271"/>
      <c r="Z78" s="271"/>
      <c r="AB78" s="273" t="str">
        <f t="shared" si="14"/>
        <v>TinPT Tambang Timah</v>
      </c>
    </row>
    <row r="79" spans="1:28" s="272" customFormat="1" ht="20.100000000000001" customHeight="1">
      <c r="A79" s="214"/>
      <c r="B79" s="215" t="s">
        <v>1131</v>
      </c>
      <c r="C79" s="219" t="s">
        <v>14026</v>
      </c>
      <c r="D79" s="278"/>
      <c r="E79" s="215" t="str">
        <f ca="1">IF(ISERROR($V79),"",OFFSET('Smelter Look-up'!$D$4,$V79-4,0)&amp;"")</f>
        <v>INDONESIA</v>
      </c>
      <c r="F79" s="215" t="str">
        <f ca="1">IF(ISERROR($V79),"",OFFSET('Smelter Look-up'!$E$4,$V79-4,0))</f>
        <v>CID001477</v>
      </c>
      <c r="G79" s="215" t="str">
        <f ca="1">IF(C79=$X$4,"Enter smelter details",IF(ISERROR($V79),"",OFFSET('Smelter Look-up'!$F$4,$V79-4,0)))</f>
        <v>RMI</v>
      </c>
      <c r="H79" s="216">
        <f ca="1">IF(ISERROR($V79),"",OFFSET('Smelter Look-up'!$G$4,$V79-4,0))</f>
        <v>0</v>
      </c>
      <c r="I79" s="217" t="str">
        <f ca="1">IF(ISERROR($V79),"",OFFSET('Smelter Look-up'!$H$4,$V79-4,0))</f>
        <v>Kundur</v>
      </c>
      <c r="J79" s="217" t="str">
        <f ca="1">IF(ISERROR($V79),"",OFFSET('Smelter Look-up'!$I$4,$V79-4,0))</f>
        <v>Riau</v>
      </c>
      <c r="K79" s="268"/>
      <c r="L79" s="268"/>
      <c r="M79" s="268"/>
      <c r="N79" s="268"/>
      <c r="O79" s="268"/>
      <c r="P79" s="218"/>
      <c r="Q79" s="358" t="s">
        <v>15631</v>
      </c>
      <c r="R79" s="215" t="str">
        <f ca="1">IF(ISERROR($V79),"",OFFSET('Smelter Look-up'!$C$4,$V79-4,0)&amp;"")</f>
        <v>PT Timah Tbk Kundur</v>
      </c>
      <c r="S79" s="222" t="str">
        <f t="shared" ca="1" si="12"/>
        <v>ID</v>
      </c>
      <c r="T79" s="222" t="str">
        <f ca="1">IF(B79="","",IF(ISERROR(MATCH($J79,SorP!$B$1:$B$6230,0)),"",INDIRECT("'SorP'!$A$"&amp;MATCH($J79,SorP!$B$1:$B$6230,0))))</f>
        <v>ID-RI</v>
      </c>
      <c r="U79" s="238"/>
      <c r="V79" s="270">
        <f>IF(C79="",NA(),MATCH($B79&amp;$C79,'Smelter Look-up'!$J:$J,0))</f>
        <v>491</v>
      </c>
      <c r="W79" s="271"/>
      <c r="X79" s="271">
        <f t="shared" ca="1" si="13"/>
        <v>0</v>
      </c>
      <c r="Y79" s="271"/>
      <c r="Z79" s="271"/>
      <c r="AB79" s="273" t="str">
        <f t="shared" si="14"/>
        <v>TinPT Timah Tbk Kundur</v>
      </c>
    </row>
    <row r="80" spans="1:28" s="272" customFormat="1" ht="20.100000000000001" customHeight="1">
      <c r="A80" s="214"/>
      <c r="B80" s="215" t="s">
        <v>1131</v>
      </c>
      <c r="C80" s="219" t="s">
        <v>14025</v>
      </c>
      <c r="D80" s="278"/>
      <c r="E80" s="215" t="str">
        <f ca="1">IF(ISERROR($V80),"",OFFSET('Smelter Look-up'!$D$4,$V80-4,0)&amp;"")</f>
        <v>INDONESIA</v>
      </c>
      <c r="F80" s="215" t="str">
        <f ca="1">IF(ISERROR($V80),"",OFFSET('Smelter Look-up'!$E$4,$V80-4,0))</f>
        <v>CID001482</v>
      </c>
      <c r="G80" s="215" t="str">
        <f ca="1">IF(C80=$X$4,"Enter smelter details",IF(ISERROR($V80),"",OFFSET('Smelter Look-up'!$F$4,$V80-4,0)))</f>
        <v>RMI</v>
      </c>
      <c r="H80" s="216">
        <f ca="1">IF(ISERROR($V80),"",OFFSET('Smelter Look-up'!$G$4,$V80-4,0))</f>
        <v>0</v>
      </c>
      <c r="I80" s="217" t="str">
        <f ca="1">IF(ISERROR($V80),"",OFFSET('Smelter Look-up'!$H$4,$V80-4,0))</f>
        <v>Mentok</v>
      </c>
      <c r="J80" s="217" t="str">
        <f ca="1">IF(ISERROR($V80),"",OFFSET('Smelter Look-up'!$I$4,$V80-4,0))</f>
        <v>Kepulauan Bangka Belitung</v>
      </c>
      <c r="K80" s="268"/>
      <c r="L80" s="268"/>
      <c r="M80" s="268"/>
      <c r="N80" s="268"/>
      <c r="O80" s="268"/>
      <c r="P80" s="218"/>
      <c r="Q80" s="358" t="s">
        <v>15631</v>
      </c>
      <c r="R80" s="215" t="str">
        <f ca="1">IF(ISERROR($V80),"",OFFSET('Smelter Look-up'!$C$4,$V80-4,0)&amp;"")</f>
        <v>PT Timah Tbk Mentok</v>
      </c>
      <c r="S80" s="222" t="str">
        <f t="shared" ca="1" si="12"/>
        <v>ID</v>
      </c>
      <c r="T80" s="222" t="str">
        <f ca="1">IF(B80="","",IF(ISERROR(MATCH($J80,SorP!$B$1:$B$6230,0)),"",INDIRECT("'SorP'!$A$"&amp;MATCH($J80,SorP!$B$1:$B$6230,0))))</f>
        <v>ID-BB</v>
      </c>
      <c r="U80" s="238"/>
      <c r="V80" s="270">
        <f>IF(C80="",NA(),MATCH($B80&amp;$C80,'Smelter Look-up'!$J:$J,0))</f>
        <v>492</v>
      </c>
      <c r="W80" s="271"/>
      <c r="X80" s="271">
        <f t="shared" ca="1" si="13"/>
        <v>0</v>
      </c>
      <c r="Y80" s="271"/>
      <c r="Z80" s="271"/>
      <c r="AB80" s="273" t="str">
        <f t="shared" si="14"/>
        <v>TinPT Timah Tbk Mentok</v>
      </c>
    </row>
    <row r="81" spans="1:28" s="272" customFormat="1" ht="20.100000000000001" customHeight="1">
      <c r="A81" s="214"/>
      <c r="B81" s="215" t="s">
        <v>1131</v>
      </c>
      <c r="C81" s="219" t="s">
        <v>1805</v>
      </c>
      <c r="D81" s="278"/>
      <c r="E81" s="215" t="str">
        <f ca="1">IF(ISERROR($V81),"",OFFSET('Smelter Look-up'!$D$4,$V81-4,0)&amp;"")</f>
        <v>INDONESIA</v>
      </c>
      <c r="F81" s="215" t="str">
        <f ca="1">IF(ISERROR($V81),"",OFFSET('Smelter Look-up'!$E$4,$V81-4,0))</f>
        <v>CID001460</v>
      </c>
      <c r="G81" s="215" t="str">
        <f ca="1">IF(C81=$X$4,"Enter smelter details",IF(ISERROR($V81),"",OFFSET('Smelter Look-up'!$F$4,$V81-4,0)))</f>
        <v>RMI</v>
      </c>
      <c r="H81" s="216">
        <f ca="1">IF(ISERROR($V81),"",OFFSET('Smelter Look-up'!$G$4,$V81-4,0))</f>
        <v>0</v>
      </c>
      <c r="I81" s="217" t="str">
        <f ca="1">IF(ISERROR($V81),"",OFFSET('Smelter Look-up'!$H$4,$V81-4,0))</f>
        <v>Sungailiat</v>
      </c>
      <c r="J81" s="217" t="str">
        <f ca="1">IF(ISERROR($V81),"",OFFSET('Smelter Look-up'!$I$4,$V81-4,0))</f>
        <v>Kepulauan Bangka Belitung</v>
      </c>
      <c r="K81" s="268"/>
      <c r="L81" s="268"/>
      <c r="M81" s="268"/>
      <c r="N81" s="268"/>
      <c r="O81" s="268"/>
      <c r="P81" s="218"/>
      <c r="Q81" s="358" t="s">
        <v>15631</v>
      </c>
      <c r="R81" s="215" t="str">
        <f ca="1">IF(ISERROR($V81),"",OFFSET('Smelter Look-up'!$C$4,$V81-4,0)&amp;"")</f>
        <v>PT Refined Bangka Tin</v>
      </c>
      <c r="S81" s="222" t="str">
        <f t="shared" ca="1" si="12"/>
        <v>ID</v>
      </c>
      <c r="T81" s="222" t="str">
        <f ca="1">IF(B81="","",IF(ISERROR(MATCH($J81,SorP!$B$1:$B$6230,0)),"",INDIRECT("'SorP'!$A$"&amp;MATCH($J81,SorP!$B$1:$B$6230,0))))</f>
        <v>ID-BB</v>
      </c>
      <c r="U81" s="238"/>
      <c r="V81" s="270">
        <f>IF(C81="",NA(),MATCH($B81&amp;$C81,'Smelter Look-up'!$J:$J,0))</f>
        <v>389</v>
      </c>
      <c r="W81" s="271"/>
      <c r="X81" s="271">
        <f t="shared" ca="1" si="13"/>
        <v>0</v>
      </c>
      <c r="Y81" s="271"/>
      <c r="Z81" s="271"/>
      <c r="AB81" s="273" t="str">
        <f t="shared" si="14"/>
        <v>TinBrand RBT</v>
      </c>
    </row>
    <row r="82" spans="1:28" s="272" customFormat="1" ht="38.25">
      <c r="A82" s="214"/>
      <c r="B82" s="215" t="s">
        <v>1131</v>
      </c>
      <c r="C82" s="219" t="s">
        <v>40</v>
      </c>
      <c r="D82" s="278"/>
      <c r="E82" s="215" t="str">
        <f ca="1">IF(ISERROR($V82),"",OFFSET('Smelter Look-up'!$D$4,$V82-4,0)&amp;"")</f>
        <v>BOLIVIA (PLURINATIONAL STATE OF)</v>
      </c>
      <c r="F82" s="215" t="str">
        <f ca="1">IF(ISERROR($V82),"",OFFSET('Smelter Look-up'!$E$4,$V82-4,0))</f>
        <v>CID000438</v>
      </c>
      <c r="G82" s="215" t="str">
        <f ca="1">IF(C82=$X$4,"Enter smelter details",IF(ISERROR($V82),"",OFFSET('Smelter Look-up'!$F$4,$V82-4,0)))</f>
        <v>RMI</v>
      </c>
      <c r="H82" s="216">
        <f ca="1">IF(ISERROR($V82),"",OFFSET('Smelter Look-up'!$G$4,$V82-4,0))</f>
        <v>0</v>
      </c>
      <c r="I82" s="217" t="str">
        <f ca="1">IF(ISERROR($V82),"",OFFSET('Smelter Look-up'!$H$4,$V82-4,0))</f>
        <v>Oruro</v>
      </c>
      <c r="J82" s="217" t="str">
        <f ca="1">IF(ISERROR($V82),"",OFFSET('Smelter Look-up'!$I$4,$V82-4,0))</f>
        <v>Oruro</v>
      </c>
      <c r="K82" s="268"/>
      <c r="L82" s="268"/>
      <c r="M82" s="268"/>
      <c r="N82" s="268"/>
      <c r="O82" s="268"/>
      <c r="P82" s="218"/>
      <c r="Q82" s="358" t="s">
        <v>15631</v>
      </c>
      <c r="R82" s="215" t="str">
        <f ca="1">IF(ISERROR($V82),"",OFFSET('Smelter Look-up'!$C$4,$V82-4,0)&amp;"")</f>
        <v>EM Vinto</v>
      </c>
      <c r="S82" s="222" t="str">
        <f t="shared" ca="1" si="12"/>
        <v>BO</v>
      </c>
      <c r="T82" s="222" t="str">
        <f ca="1">IF(B82="","",IF(ISERROR(MATCH($J82,SorP!$B$1:$B$6230,0)),"",INDIRECT("'SorP'!$A$"&amp;MATCH($J82,SorP!$B$1:$B$6230,0))))</f>
        <v>BO-O</v>
      </c>
      <c r="U82" s="238"/>
      <c r="V82" s="270">
        <f>IF(C82="",NA(),MATCH($B82&amp;$C82,'Smelter Look-up'!$J:$J,0))</f>
        <v>415</v>
      </c>
      <c r="W82" s="271"/>
      <c r="X82" s="271">
        <f t="shared" ca="1" si="13"/>
        <v>0</v>
      </c>
      <c r="Y82" s="271"/>
      <c r="Z82" s="271"/>
      <c r="AB82" s="273" t="str">
        <f t="shared" si="14"/>
        <v>TinENAF</v>
      </c>
    </row>
    <row r="83" spans="1:28" s="272" customFormat="1" ht="20.100000000000001" customHeight="1">
      <c r="A83" s="214"/>
      <c r="B83" s="215" t="s">
        <v>1131</v>
      </c>
      <c r="C83" s="219" t="s">
        <v>2178</v>
      </c>
      <c r="D83" s="278"/>
      <c r="E83" s="215" t="str">
        <f ca="1">IF(ISERROR($V83),"",OFFSET('Smelter Look-up'!$D$4,$V83-4,0)&amp;"")</f>
        <v>BRAZIL</v>
      </c>
      <c r="F83" s="215" t="str">
        <f ca="1">IF(ISERROR($V83),"",OFFSET('Smelter Look-up'!$E$4,$V83-4,0))</f>
        <v>CID001758</v>
      </c>
      <c r="G83" s="215" t="str">
        <f ca="1">IF(C83=$X$4,"Enter smelter details",IF(ISERROR($V83),"",OFFSET('Smelter Look-up'!$F$4,$V83-4,0)))</f>
        <v>RMI</v>
      </c>
      <c r="H83" s="216">
        <f ca="1">IF(ISERROR($V83),"",OFFSET('Smelter Look-up'!$G$4,$V83-4,0))</f>
        <v>0</v>
      </c>
      <c r="I83" s="217" t="str">
        <f ca="1">IF(ISERROR($V83),"",OFFSET('Smelter Look-up'!$H$4,$V83-4,0))</f>
        <v>Bebedouro</v>
      </c>
      <c r="J83" s="217" t="str">
        <f ca="1">IF(ISERROR($V83),"",OFFSET('Smelter Look-up'!$I$4,$V83-4,0))</f>
        <v>São Paulo</v>
      </c>
      <c r="K83" s="268"/>
      <c r="L83" s="268"/>
      <c r="M83" s="268"/>
      <c r="N83" s="268"/>
      <c r="O83" s="268"/>
      <c r="P83" s="218"/>
      <c r="Q83" s="358" t="s">
        <v>15631</v>
      </c>
      <c r="R83" s="215" t="str">
        <f ca="1">IF(ISERROR($V83),"",OFFSET('Smelter Look-up'!$C$4,$V83-4,0)&amp;"")</f>
        <v>Soft Metais Ltda.</v>
      </c>
      <c r="S83" s="222" t="str">
        <f t="shared" ca="1" si="12"/>
        <v>BR</v>
      </c>
      <c r="T83" s="222" t="str">
        <f ca="1">IF(B83="","",IF(ISERROR(MATCH($J83,SorP!$B$1:$B$6230,0)),"",INDIRECT("'SorP'!$A$"&amp;MATCH($J83,SorP!$B$1:$B$6230,0))))</f>
        <v>BR-SP</v>
      </c>
      <c r="U83" s="238"/>
      <c r="V83" s="270">
        <f>IF(C83="",NA(),MATCH($B83&amp;$C83,'Smelter Look-up'!$J:$J,0))</f>
        <v>499</v>
      </c>
      <c r="W83" s="271"/>
      <c r="X83" s="271">
        <f t="shared" ca="1" si="13"/>
        <v>0</v>
      </c>
      <c r="Y83" s="271"/>
      <c r="Z83" s="271"/>
      <c r="AB83" s="273" t="str">
        <f t="shared" si="14"/>
        <v>TinSoft Metais Ltda.</v>
      </c>
    </row>
    <row r="84" spans="1:28" s="272" customFormat="1" ht="20.100000000000001" customHeight="1">
      <c r="A84" s="214"/>
      <c r="B84" s="215" t="s">
        <v>1131</v>
      </c>
      <c r="C84" s="219" t="s">
        <v>815</v>
      </c>
      <c r="D84" s="278"/>
      <c r="E84" s="215" t="str">
        <f ca="1">IF(ISERROR($V84),"",OFFSET('Smelter Look-up'!$D$4,$V84-4,0)&amp;"")</f>
        <v>POLAND</v>
      </c>
      <c r="F84" s="215" t="str">
        <f ca="1">IF(ISERROR($V84),"",OFFSET('Smelter Look-up'!$E$4,$V84-4,0))</f>
        <v>CID000468</v>
      </c>
      <c r="G84" s="215" t="str">
        <f ca="1">IF(C84=$X$4,"Enter smelter details",IF(ISERROR($V84),"",OFFSET('Smelter Look-up'!$F$4,$V84-4,0)))</f>
        <v>RMI</v>
      </c>
      <c r="H84" s="216">
        <f ca="1">IF(ISERROR($V84),"",OFFSET('Smelter Look-up'!$G$4,$V84-4,0))</f>
        <v>0</v>
      </c>
      <c r="I84" s="217" t="str">
        <f ca="1">IF(ISERROR($V84),"",OFFSET('Smelter Look-up'!$H$4,$V84-4,0))</f>
        <v>Chmielów</v>
      </c>
      <c r="J84" s="217" t="str">
        <f ca="1">IF(ISERROR($V84),"",OFFSET('Smelter Look-up'!$I$4,$V84-4,0))</f>
        <v>Podkarpackie</v>
      </c>
      <c r="K84" s="268"/>
      <c r="L84" s="268"/>
      <c r="M84" s="268"/>
      <c r="N84" s="268"/>
      <c r="O84" s="268"/>
      <c r="P84" s="218"/>
      <c r="Q84" s="358" t="s">
        <v>15631</v>
      </c>
      <c r="R84" s="215" t="str">
        <f ca="1">IF(ISERROR($V84),"",OFFSET('Smelter Look-up'!$C$4,$V84-4,0)&amp;"")</f>
        <v>Fenix Metals</v>
      </c>
      <c r="S84" s="222" t="str">
        <f t="shared" ca="1" si="12"/>
        <v>PL</v>
      </c>
      <c r="T84" s="222" t="str">
        <f ca="1">IF(B84="","",IF(ISERROR(MATCH($J84,SorP!$B$1:$B$6230,0)),"",INDIRECT("'SorP'!$A$"&amp;MATCH($J84,SorP!$B$1:$B$6230,0))))</f>
        <v>PL-18</v>
      </c>
      <c r="U84" s="238"/>
      <c r="V84" s="270">
        <f>IF(C84="",NA(),MATCH($B84&amp;$C84,'Smelter Look-up'!$J:$J,0))</f>
        <v>421</v>
      </c>
      <c r="W84" s="271"/>
      <c r="X84" s="271">
        <f t="shared" ca="1" si="13"/>
        <v>0</v>
      </c>
      <c r="Y84" s="271"/>
      <c r="Z84" s="271"/>
      <c r="AB84" s="273" t="str">
        <f t="shared" si="14"/>
        <v>TinFenix Metals</v>
      </c>
    </row>
    <row r="85" spans="1:28" s="272" customFormat="1" ht="20.100000000000001" customHeight="1">
      <c r="A85" s="214"/>
      <c r="B85" s="215" t="s">
        <v>1131</v>
      </c>
      <c r="C85" s="219" t="s">
        <v>13149</v>
      </c>
      <c r="D85" s="278"/>
      <c r="E85" s="215" t="str">
        <f ca="1">IF(ISERROR($V85),"",OFFSET('Smelter Look-up'!$D$4,$V85-4,0)&amp;"")</f>
        <v>BELGIUM</v>
      </c>
      <c r="F85" s="215" t="str">
        <f ca="1">IF(ISERROR($V85),"",OFFSET('Smelter Look-up'!$E$4,$V85-4,0))</f>
        <v>CID002773</v>
      </c>
      <c r="G85" s="215" t="str">
        <f ca="1">IF(C85=$X$4,"Enter smelter details",IF(ISERROR($V85),"",OFFSET('Smelter Look-up'!$F$4,$V85-4,0)))</f>
        <v>RMI</v>
      </c>
      <c r="H85" s="216">
        <f ca="1">IF(ISERROR($V85),"",OFFSET('Smelter Look-up'!$G$4,$V85-4,0))</f>
        <v>0</v>
      </c>
      <c r="I85" s="217" t="str">
        <f ca="1">IF(ISERROR($V85),"",OFFSET('Smelter Look-up'!$H$4,$V85-4,0))</f>
        <v>Beerse</v>
      </c>
      <c r="J85" s="217" t="str">
        <f ca="1">IF(ISERROR($V85),"",OFFSET('Smelter Look-up'!$I$4,$V85-4,0))</f>
        <v>Antwerpen</v>
      </c>
      <c r="K85" s="268"/>
      <c r="L85" s="268"/>
      <c r="M85" s="268"/>
      <c r="N85" s="268"/>
      <c r="O85" s="268"/>
      <c r="P85" s="218"/>
      <c r="Q85" s="358" t="s">
        <v>15631</v>
      </c>
      <c r="R85" s="215" t="str">
        <f ca="1">IF(ISERROR($V85),"",OFFSET('Smelter Look-up'!$C$4,$V85-4,0)&amp;"")</f>
        <v>Metallo Belgium N.V.</v>
      </c>
      <c r="S85" s="222" t="str">
        <f t="shared" ca="1" si="12"/>
        <v>BE</v>
      </c>
      <c r="T85" s="222" t="str">
        <f ca="1">IF(B85="","",IF(ISERROR(MATCH($J85,SorP!$B$1:$B$6230,0)),"",INDIRECT("'SorP'!$A$"&amp;MATCH($J85,SorP!$B$1:$B$6230,0))))</f>
        <v>BE-VAN</v>
      </c>
      <c r="U85" s="238"/>
      <c r="V85" s="270">
        <f>IF(C85="",NA(),MATCH($B85&amp;$C85,'Smelter Look-up'!$J:$J,0))</f>
        <v>454</v>
      </c>
      <c r="W85" s="271"/>
      <c r="X85" s="271">
        <f t="shared" ca="1" si="13"/>
        <v>0</v>
      </c>
      <c r="Y85" s="271"/>
      <c r="Z85" s="271"/>
      <c r="AB85" s="273" t="str">
        <f t="shared" si="14"/>
        <v>TinMetallo Belgium N.V.</v>
      </c>
    </row>
    <row r="86" spans="1:28" s="272" customFormat="1" ht="20.100000000000001" customHeight="1">
      <c r="A86" s="214"/>
      <c r="B86" s="215" t="s">
        <v>1131</v>
      </c>
      <c r="C86" s="219" t="s">
        <v>1034</v>
      </c>
      <c r="D86" s="278"/>
      <c r="E86" s="215" t="str">
        <f ca="1">IF(ISERROR($V86),"",OFFSET('Smelter Look-up'!$D$4,$V86-4,0)&amp;"")</f>
        <v>PERU</v>
      </c>
      <c r="F86" s="215" t="str">
        <f ca="1">IF(ISERROR($V86),"",OFFSET('Smelter Look-up'!$E$4,$V86-4,0))</f>
        <v>CID001182</v>
      </c>
      <c r="G86" s="215" t="str">
        <f ca="1">IF(C86=$X$4,"Enter smelter details",IF(ISERROR($V86),"",OFFSET('Smelter Look-up'!$F$4,$V86-4,0)))</f>
        <v>RMI</v>
      </c>
      <c r="H86" s="216">
        <f ca="1">IF(ISERROR($V86),"",OFFSET('Smelter Look-up'!$G$4,$V86-4,0))</f>
        <v>0</v>
      </c>
      <c r="I86" s="217" t="str">
        <f ca="1">IF(ISERROR($V86),"",OFFSET('Smelter Look-up'!$H$4,$V86-4,0))</f>
        <v>Paracas</v>
      </c>
      <c r="J86" s="217" t="str">
        <f ca="1">IF(ISERROR($V86),"",OFFSET('Smelter Look-up'!$I$4,$V86-4,0))</f>
        <v>Ika</v>
      </c>
      <c r="K86" s="268"/>
      <c r="L86" s="268"/>
      <c r="M86" s="268"/>
      <c r="N86" s="268"/>
      <c r="O86" s="268"/>
      <c r="P86" s="218"/>
      <c r="Q86" s="358" t="s">
        <v>15631</v>
      </c>
      <c r="R86" s="215" t="str">
        <f ca="1">IF(ISERROR($V86),"",OFFSET('Smelter Look-up'!$C$4,$V86-4,0)&amp;"")</f>
        <v>Minsur</v>
      </c>
      <c r="S86" s="222" t="str">
        <f t="shared" ca="1" si="12"/>
        <v>PE</v>
      </c>
      <c r="T86" s="222" t="str">
        <f ca="1">IF(B86="","",IF(ISERROR(MATCH($J86,SorP!$B$1:$B$6230,0)),"",INDIRECT("'SorP'!$A$"&amp;MATCH($J86,SorP!$B$1:$B$6230,0))))</f>
        <v>PE-ICA</v>
      </c>
      <c r="U86" s="238"/>
      <c r="V86" s="270">
        <f>IF(C86="",NA(),MATCH($B86&amp;$C86,'Smelter Look-up'!$J:$J,0))</f>
        <v>460</v>
      </c>
      <c r="W86" s="271"/>
      <c r="X86" s="271">
        <f t="shared" ca="1" si="13"/>
        <v>0</v>
      </c>
      <c r="Y86" s="271"/>
      <c r="Z86" s="271"/>
      <c r="AB86" s="273" t="str">
        <f t="shared" si="14"/>
        <v>TinMinsur</v>
      </c>
    </row>
    <row r="87" spans="1:28" s="272" customFormat="1" ht="20.100000000000001" customHeight="1">
      <c r="A87" s="214"/>
      <c r="B87" s="215" t="s">
        <v>1131</v>
      </c>
      <c r="C87" s="219" t="s">
        <v>2252</v>
      </c>
      <c r="D87" s="278"/>
      <c r="E87" s="215" t="str">
        <f ca="1">IF(ISERROR($V87),"",OFFSET('Smelter Look-up'!$D$4,$V87-4,0)&amp;"")</f>
        <v>MALAYSIA</v>
      </c>
      <c r="F87" s="215" t="str">
        <f ca="1">IF(ISERROR($V87),"",OFFSET('Smelter Look-up'!$E$4,$V87-4,0))</f>
        <v>CID001105</v>
      </c>
      <c r="G87" s="215" t="str">
        <f ca="1">IF(C87=$X$4,"Enter smelter details",IF(ISERROR($V87),"",OFFSET('Smelter Look-up'!$F$4,$V87-4,0)))</f>
        <v>RMI</v>
      </c>
      <c r="H87" s="216">
        <f ca="1">IF(ISERROR($V87),"",OFFSET('Smelter Look-up'!$G$4,$V87-4,0))</f>
        <v>0</v>
      </c>
      <c r="I87" s="217" t="str">
        <f ca="1">IF(ISERROR($V87),"",OFFSET('Smelter Look-up'!$H$4,$V87-4,0))</f>
        <v>Butterworth</v>
      </c>
      <c r="J87" s="217" t="str">
        <f ca="1">IF(ISERROR($V87),"",OFFSET('Smelter Look-up'!$I$4,$V87-4,0))</f>
        <v>Pulau Pinang</v>
      </c>
      <c r="K87" s="268"/>
      <c r="L87" s="268"/>
      <c r="M87" s="268"/>
      <c r="N87" s="268"/>
      <c r="O87" s="268"/>
      <c r="P87" s="218"/>
      <c r="Q87" s="358" t="s">
        <v>15631</v>
      </c>
      <c r="R87" s="215" t="str">
        <f ca="1">IF(ISERROR($V87),"",OFFSET('Smelter Look-up'!$C$4,$V87-4,0)&amp;"")</f>
        <v>Malaysia Smelting Corporation (MSC)</v>
      </c>
      <c r="S87" s="222" t="str">
        <f t="shared" ca="1" si="12"/>
        <v>MY</v>
      </c>
      <c r="T87" s="222" t="str">
        <f ca="1">IF(B87="","",IF(ISERROR(MATCH($J87,SorP!$B$1:$B$6230,0)),"",INDIRECT("'SorP'!$A$"&amp;MATCH($J87,SorP!$B$1:$B$6230,0))))</f>
        <v>MY-07</v>
      </c>
      <c r="U87" s="238"/>
      <c r="V87" s="270">
        <f>IF(C87="",NA(),MATCH($B87&amp;$C87,'Smelter Look-up'!$J:$J,0))</f>
        <v>463</v>
      </c>
      <c r="W87" s="271"/>
      <c r="X87" s="271">
        <f t="shared" ca="1" si="13"/>
        <v>0</v>
      </c>
      <c r="Y87" s="271"/>
      <c r="Z87" s="271"/>
      <c r="AB87" s="273" t="str">
        <f t="shared" si="14"/>
        <v>TinMSC</v>
      </c>
    </row>
    <row r="88" spans="1:28" s="272" customFormat="1" ht="20.100000000000001" customHeight="1">
      <c r="A88" s="214"/>
      <c r="B88" s="215" t="s">
        <v>1132</v>
      </c>
      <c r="C88" s="219" t="s">
        <v>1420</v>
      </c>
      <c r="D88" s="278"/>
      <c r="E88" s="215" t="str">
        <f ca="1">IF(ISERROR($V88),"",OFFSET('Smelter Look-up'!$D$4,$V88-4,0)&amp;"")</f>
        <v>UNITED STATES OF AMERICA</v>
      </c>
      <c r="F88" s="215" t="str">
        <f ca="1">IF(ISERROR($V88),"",OFFSET('Smelter Look-up'!$E$4,$V88-4,0))</f>
        <v>CID002548</v>
      </c>
      <c r="G88" s="215" t="str">
        <f ca="1">IF(C88=$X$4,"Enter smelter details",IF(ISERROR($V88),"",OFFSET('Smelter Look-up'!$F$4,$V88-4,0)))</f>
        <v>RMI</v>
      </c>
      <c r="H88" s="216">
        <f ca="1">IF(ISERROR($V88),"",OFFSET('Smelter Look-up'!$G$4,$V88-4,0))</f>
        <v>0</v>
      </c>
      <c r="I88" s="217" t="str">
        <f ca="1">IF(ISERROR($V88),"",OFFSET('Smelter Look-up'!$H$4,$V88-4,0))</f>
        <v>Newton</v>
      </c>
      <c r="J88" s="217" t="str">
        <f ca="1">IF(ISERROR($V88),"",OFFSET('Smelter Look-up'!$I$4,$V88-4,0))</f>
        <v>Massachusetts</v>
      </c>
      <c r="K88" s="268"/>
      <c r="L88" s="268"/>
      <c r="M88" s="268"/>
      <c r="N88" s="268"/>
      <c r="O88" s="268"/>
      <c r="P88" s="218"/>
      <c r="Q88" s="358" t="s">
        <v>15632</v>
      </c>
      <c r="R88" s="215" t="str">
        <f ca="1">IF(ISERROR($V88),"",OFFSET('Smelter Look-up'!$C$4,$V88-4,0)&amp;"")</f>
        <v>H.C. Starck Inc.</v>
      </c>
      <c r="S88" s="222" t="str">
        <f t="shared" ca="1" si="12"/>
        <v>US</v>
      </c>
      <c r="T88" s="222" t="str">
        <f ca="1">IF(B88="","",IF(ISERROR(MATCH($J88,SorP!$B$1:$B$6230,0)),"",INDIRECT("'SorP'!$A$"&amp;MATCH($J88,SorP!$B$1:$B$6230,0))))</f>
        <v>US-MA</v>
      </c>
      <c r="U88" s="238"/>
      <c r="V88" s="270">
        <f>IF(C88="",NA(),MATCH($B88&amp;$C88,'Smelter Look-up'!$J:$J,0))</f>
        <v>328</v>
      </c>
      <c r="W88" s="271"/>
      <c r="X88" s="271">
        <f t="shared" ca="1" si="13"/>
        <v>0</v>
      </c>
      <c r="Y88" s="271"/>
      <c r="Z88" s="271"/>
      <c r="AB88" s="273" t="str">
        <f t="shared" si="14"/>
        <v>TantalumH.C. Starck Inc.</v>
      </c>
    </row>
    <row r="89" spans="1:28" s="272" customFormat="1" ht="20.100000000000001" customHeight="1">
      <c r="A89" s="214"/>
      <c r="B89" s="215" t="s">
        <v>1132</v>
      </c>
      <c r="C89" s="219" t="s">
        <v>2</v>
      </c>
      <c r="D89" s="278"/>
      <c r="E89" s="215" t="str">
        <f ca="1">IF(ISERROR($V89),"",OFFSET('Smelter Look-up'!$D$4,$V89-4,0)&amp;"")</f>
        <v>CHINA</v>
      </c>
      <c r="F89" s="215" t="str">
        <f ca="1">IF(ISERROR($V89),"",OFFSET('Smelter Look-up'!$E$4,$V89-4,0))</f>
        <v>CID000211</v>
      </c>
      <c r="G89" s="215" t="str">
        <f ca="1">IF(C89=$X$4,"Enter smelter details",IF(ISERROR($V89),"",OFFSET('Smelter Look-up'!$F$4,$V89-4,0)))</f>
        <v>RMI</v>
      </c>
      <c r="H89" s="216">
        <f ca="1">IF(ISERROR($V89),"",OFFSET('Smelter Look-up'!$G$4,$V89-4,0))</f>
        <v>0</v>
      </c>
      <c r="I89" s="217" t="str">
        <f ca="1">IF(ISERROR($V89),"",OFFSET('Smelter Look-up'!$H$4,$V89-4,0))</f>
        <v>Changsha</v>
      </c>
      <c r="J89" s="217" t="str">
        <f ca="1">IF(ISERROR($V89),"",OFFSET('Smelter Look-up'!$I$4,$V89-4,0))</f>
        <v>Hunan Sheng</v>
      </c>
      <c r="K89" s="268"/>
      <c r="L89" s="268"/>
      <c r="M89" s="268"/>
      <c r="N89" s="268"/>
      <c r="O89" s="268"/>
      <c r="P89" s="218"/>
      <c r="Q89" s="358" t="s">
        <v>15632</v>
      </c>
      <c r="R89" s="215" t="str">
        <f ca="1">IF(ISERROR($V89),"",OFFSET('Smelter Look-up'!$C$4,$V89-4,0)&amp;"")</f>
        <v>Changsha South Tantalum Niobium Co., Ltd.</v>
      </c>
      <c r="S89" s="222" t="str">
        <f t="shared" ca="1" si="12"/>
        <v>CN</v>
      </c>
      <c r="T89" s="222" t="str">
        <f ca="1">IF(B89="","",IF(ISERROR(MATCH($J89,SorP!$B$1:$B$6230,0)),"",INDIRECT("'SorP'!$A$"&amp;MATCH($J89,SorP!$B$1:$B$6230,0))))</f>
        <v>CN-HN</v>
      </c>
      <c r="U89" s="238"/>
      <c r="V89" s="270">
        <f>IF(C89="",NA(),MATCH($B89&amp;$C89,'Smelter Look-up'!$J:$J,0))</f>
        <v>316</v>
      </c>
      <c r="W89" s="271"/>
      <c r="X89" s="271">
        <f t="shared" ca="1" si="13"/>
        <v>0</v>
      </c>
      <c r="Y89" s="271"/>
      <c r="Z89" s="271"/>
      <c r="AB89" s="273" t="str">
        <f t="shared" si="14"/>
        <v>TantalumChangsha South Tantalum Niobium Co., Ltd.</v>
      </c>
    </row>
    <row r="90" spans="1:28" s="272" customFormat="1" ht="20.100000000000001" customHeight="1">
      <c r="A90" s="214"/>
      <c r="B90" s="215" t="s">
        <v>1132</v>
      </c>
      <c r="C90" s="219" t="s">
        <v>1729</v>
      </c>
      <c r="D90" s="278"/>
      <c r="E90" s="215" t="str">
        <f ca="1">IF(ISERROR($V90),"",OFFSET('Smelter Look-up'!$D$4,$V90-4,0)&amp;"")</f>
        <v>CHINA</v>
      </c>
      <c r="F90" s="215" t="str">
        <f ca="1">IF(ISERROR($V90),"",OFFSET('Smelter Look-up'!$E$4,$V90-4,0))</f>
        <v>CID000460</v>
      </c>
      <c r="G90" s="215" t="str">
        <f ca="1">IF(C90=$X$4,"Enter smelter details",IF(ISERROR($V90),"",OFFSET('Smelter Look-up'!$F$4,$V90-4,0)))</f>
        <v>RMI</v>
      </c>
      <c r="H90" s="216">
        <f ca="1">IF(ISERROR($V90),"",OFFSET('Smelter Look-up'!$G$4,$V90-4,0))</f>
        <v>0</v>
      </c>
      <c r="I90" s="217" t="str">
        <f ca="1">IF(ISERROR($V90),"",OFFSET('Smelter Look-up'!$H$4,$V90-4,0))</f>
        <v>Jiangmen</v>
      </c>
      <c r="J90" s="217" t="str">
        <f ca="1">IF(ISERROR($V90),"",OFFSET('Smelter Look-up'!$I$4,$V90-4,0))</f>
        <v>Guangdong Sheng</v>
      </c>
      <c r="K90" s="268"/>
      <c r="L90" s="268"/>
      <c r="M90" s="268"/>
      <c r="N90" s="268"/>
      <c r="O90" s="268"/>
      <c r="P90" s="218"/>
      <c r="Q90" s="358" t="s">
        <v>15632</v>
      </c>
      <c r="R90" s="215" t="str">
        <f ca="1">IF(ISERROR($V90),"",OFFSET('Smelter Look-up'!$C$4,$V90-4,0)&amp;"")</f>
        <v>F&amp;X Electro-Materials Ltd.</v>
      </c>
      <c r="S90" s="222" t="str">
        <f t="shared" ca="1" si="12"/>
        <v>CN</v>
      </c>
      <c r="T90" s="222" t="str">
        <f ca="1">IF(B90="","",IF(ISERROR(MATCH($J90,SorP!$B$1:$B$6230,0)),"",INDIRECT("'SorP'!$A$"&amp;MATCH($J90,SorP!$B$1:$B$6230,0))))</f>
        <v>CN-GD</v>
      </c>
      <c r="U90" s="238"/>
      <c r="V90" s="270">
        <f>IF(C90="",NA(),MATCH($B90&amp;$C90,'Smelter Look-up'!$J:$J,0))</f>
        <v>320</v>
      </c>
      <c r="W90" s="271"/>
      <c r="X90" s="271">
        <f t="shared" ca="1" si="13"/>
        <v>0</v>
      </c>
      <c r="Y90" s="271"/>
      <c r="Z90" s="271"/>
      <c r="AB90" s="273" t="str">
        <f t="shared" si="14"/>
        <v>TantalumF &amp; X</v>
      </c>
    </row>
    <row r="91" spans="1:28" s="272" customFormat="1" ht="20.100000000000001" customHeight="1">
      <c r="A91" s="214"/>
      <c r="B91" s="215" t="s">
        <v>1130</v>
      </c>
      <c r="C91" s="219" t="s">
        <v>52</v>
      </c>
      <c r="D91" s="278"/>
      <c r="E91" s="215" t="str">
        <f ca="1">IF(ISERROR($V91),"",OFFSET('Smelter Look-up'!$D$4,$V91-4,0)&amp;"")</f>
        <v>GERMANY</v>
      </c>
      <c r="F91" s="215" t="str">
        <f ca="1">IF(ISERROR($V91),"",OFFSET('Smelter Look-up'!$E$4,$V91-4,0))</f>
        <v>CID000035</v>
      </c>
      <c r="G91" s="215" t="str">
        <f ca="1">IF(C91=$X$4,"Enter smelter details",IF(ISERROR($V91),"",OFFSET('Smelter Look-up'!$F$4,$V91-4,0)))</f>
        <v>RMI</v>
      </c>
      <c r="H91" s="216">
        <f ca="1">IF(ISERROR($V91),"",OFFSET('Smelter Look-up'!$G$4,$V91-4,0))</f>
        <v>0</v>
      </c>
      <c r="I91" s="217" t="str">
        <f ca="1">IF(ISERROR($V91),"",OFFSET('Smelter Look-up'!$H$4,$V91-4,0))</f>
        <v>Pforzheim</v>
      </c>
      <c r="J91" s="217" t="str">
        <f ca="1">IF(ISERROR($V91),"",OFFSET('Smelter Look-up'!$I$4,$V91-4,0))</f>
        <v>Baden-Württemberg</v>
      </c>
      <c r="K91" s="268"/>
      <c r="L91" s="268"/>
      <c r="M91" s="268"/>
      <c r="N91" s="268"/>
      <c r="O91" s="268"/>
      <c r="P91" s="218"/>
      <c r="Q91" s="358" t="s">
        <v>15632</v>
      </c>
      <c r="R91" s="215" t="str">
        <f ca="1">IF(ISERROR($V91),"",OFFSET('Smelter Look-up'!$C$4,$V91-4,0)&amp;"")</f>
        <v>Allgemeine Gold-und Silberscheideanstalt A.G.</v>
      </c>
      <c r="S91" s="222" t="str">
        <f t="shared" ca="1" si="12"/>
        <v>DE</v>
      </c>
      <c r="T91" s="222" t="str">
        <f ca="1">IF(B91="","",IF(ISERROR(MATCH($J91,SorP!$B$1:$B$6230,0)),"",INDIRECT("'SorP'!$A$"&amp;MATCH($J91,SorP!$B$1:$B$6230,0))))</f>
        <v>DE-BW</v>
      </c>
      <c r="U91" s="238"/>
      <c r="V91" s="270">
        <f>IF(C91="",NA(),MATCH($B91&amp;$C91,'Smelter Look-up'!$J:$J,0))</f>
        <v>16</v>
      </c>
      <c r="W91" s="271"/>
      <c r="X91" s="271">
        <f t="shared" ca="1" si="13"/>
        <v>0</v>
      </c>
      <c r="Y91" s="271"/>
      <c r="Z91" s="271"/>
      <c r="AB91" s="273" t="str">
        <f t="shared" si="14"/>
        <v>GoldAllgemeine Gold-und Silberscheideanstalt A.G.</v>
      </c>
    </row>
    <row r="92" spans="1:28" s="272" customFormat="1" ht="20.100000000000001" customHeight="1">
      <c r="A92" s="214"/>
      <c r="B92" s="215" t="s">
        <v>1133</v>
      </c>
      <c r="C92" s="219" t="s">
        <v>1024</v>
      </c>
      <c r="D92" s="278"/>
      <c r="E92" s="215" t="str">
        <f ca="1">IF(ISERROR($V92),"",OFFSET('Smelter Look-up'!$D$4,$V92-4,0)&amp;"")</f>
        <v>UNITED STATES OF AMERICA</v>
      </c>
      <c r="F92" s="215" t="str">
        <f ca="1">IF(ISERROR($V92),"",OFFSET('Smelter Look-up'!$E$4,$V92-4,0))</f>
        <v>CID000568</v>
      </c>
      <c r="G92" s="215" t="str">
        <f ca="1">IF(C92=$X$4,"Enter smelter details",IF(ISERROR($V92),"",OFFSET('Smelter Look-up'!$F$4,$V92-4,0)))</f>
        <v>RMI</v>
      </c>
      <c r="H92" s="216">
        <f ca="1">IF(ISERROR($V92),"",OFFSET('Smelter Look-up'!$G$4,$V92-4,0))</f>
        <v>0</v>
      </c>
      <c r="I92" s="217" t="str">
        <f ca="1">IF(ISERROR($V92),"",OFFSET('Smelter Look-up'!$H$4,$V92-4,0))</f>
        <v>Towanda</v>
      </c>
      <c r="J92" s="217" t="str">
        <f ca="1">IF(ISERROR($V92),"",OFFSET('Smelter Look-up'!$I$4,$V92-4,0))</f>
        <v>Pennsylvania</v>
      </c>
      <c r="K92" s="268"/>
      <c r="L92" s="268"/>
      <c r="M92" s="268"/>
      <c r="N92" s="268"/>
      <c r="O92" s="268"/>
      <c r="P92" s="218"/>
      <c r="Q92" s="358" t="s">
        <v>15632</v>
      </c>
      <c r="R92" s="215" t="str">
        <f ca="1">IF(ISERROR($V92),"",OFFSET('Smelter Look-up'!$C$4,$V92-4,0)&amp;"")</f>
        <v>Global Tungsten &amp; Powders Corp.</v>
      </c>
      <c r="S92" s="222" t="str">
        <f t="shared" ca="1" si="12"/>
        <v>US</v>
      </c>
      <c r="T92" s="222" t="str">
        <f ca="1">IF(B92="","",IF(ISERROR(MATCH($J92,SorP!$B$1:$B$6230,0)),"",INDIRECT("'SorP'!$A$"&amp;MATCH($J92,SorP!$B$1:$B$6230,0))))</f>
        <v>US-PA</v>
      </c>
      <c r="U92" s="238"/>
      <c r="V92" s="270">
        <f>IF(C92="",NA(),MATCH($B92&amp;$C92,'Smelter Look-up'!$J:$J,0))</f>
        <v>561</v>
      </c>
      <c r="W92" s="271"/>
      <c r="X92" s="271">
        <f t="shared" ca="1" si="13"/>
        <v>0</v>
      </c>
      <c r="Y92" s="271"/>
      <c r="Z92" s="271"/>
      <c r="AB92" s="273" t="str">
        <f t="shared" si="14"/>
        <v>TungstenGTP</v>
      </c>
    </row>
    <row r="93" spans="1:28" s="272" customFormat="1" ht="20.100000000000001" customHeight="1">
      <c r="A93" s="214"/>
      <c r="B93" s="215" t="s">
        <v>1133</v>
      </c>
      <c r="C93" s="219" t="s">
        <v>152</v>
      </c>
      <c r="D93" s="278"/>
      <c r="E93" s="215" t="str">
        <f ca="1">IF(ISERROR($V93),"",OFFSET('Smelter Look-up'!$D$4,$V93-4,0)&amp;"")</f>
        <v>CHINA</v>
      </c>
      <c r="F93" s="215" t="str">
        <f ca="1">IF(ISERROR($V93),"",OFFSET('Smelter Look-up'!$E$4,$V93-4,0))</f>
        <v>CID002316</v>
      </c>
      <c r="G93" s="215" t="str">
        <f ca="1">IF(C93=$X$4,"Enter smelter details",IF(ISERROR($V93),"",OFFSET('Smelter Look-up'!$F$4,$V93-4,0)))</f>
        <v>RMI</v>
      </c>
      <c r="H93" s="216">
        <f ca="1">IF(ISERROR($V93),"",OFFSET('Smelter Look-up'!$G$4,$V93-4,0))</f>
        <v>0</v>
      </c>
      <c r="I93" s="217" t="str">
        <f ca="1">IF(ISERROR($V93),"",OFFSET('Smelter Look-up'!$H$4,$V93-4,0))</f>
        <v>Ganzhou</v>
      </c>
      <c r="J93" s="217" t="str">
        <f ca="1">IF(ISERROR($V93),"",OFFSET('Smelter Look-up'!$I$4,$V93-4,0))</f>
        <v>Jiangxi Sheng</v>
      </c>
      <c r="K93" s="268"/>
      <c r="L93" s="268"/>
      <c r="M93" s="268"/>
      <c r="N93" s="268"/>
      <c r="O93" s="268"/>
      <c r="P93" s="218"/>
      <c r="Q93" s="358" t="s">
        <v>15632</v>
      </c>
      <c r="R93" s="215" t="str">
        <f ca="1">IF(ISERROR($V93),"",OFFSET('Smelter Look-up'!$C$4,$V93-4,0)&amp;"")</f>
        <v>Jiangxi Yaosheng Tungsten Co., Ltd.</v>
      </c>
      <c r="S93" s="222" t="str">
        <f t="shared" ca="1" si="12"/>
        <v>CN</v>
      </c>
      <c r="T93" s="222" t="str">
        <f ca="1">IF(B93="","",IF(ISERROR(MATCH($J93,SorP!$B$1:$B$6230,0)),"",INDIRECT("'SorP'!$A$"&amp;MATCH($J93,SorP!$B$1:$B$6230,0))))</f>
        <v>CN-JX</v>
      </c>
      <c r="U93" s="238"/>
      <c r="V93" s="270">
        <f>IF(C93="",NA(),MATCH($B93&amp;$C93,'Smelter Look-up'!$J:$J,0))</f>
        <v>580</v>
      </c>
      <c r="W93" s="271"/>
      <c r="X93" s="271">
        <f t="shared" ca="1" si="13"/>
        <v>0</v>
      </c>
      <c r="Y93" s="271"/>
      <c r="Z93" s="271"/>
      <c r="AB93" s="273" t="str">
        <f t="shared" si="14"/>
        <v>TungstenJiangxi Yaosheng Tungsten Co., Ltd.</v>
      </c>
    </row>
    <row r="94" spans="1:28" s="272" customFormat="1" ht="20.100000000000001" customHeight="1">
      <c r="A94" s="214"/>
      <c r="B94" s="215" t="s">
        <v>1133</v>
      </c>
      <c r="C94" s="219" t="s">
        <v>2570</v>
      </c>
      <c r="D94" s="278"/>
      <c r="E94" s="215" t="str">
        <f ca="1">IF(ISERROR($V94),"",OFFSET('Smelter Look-up'!$D$4,$V94-4,0)&amp;"")</f>
        <v>GERMANY</v>
      </c>
      <c r="F94" s="215" t="str">
        <f ca="1">IF(ISERROR($V94),"",OFFSET('Smelter Look-up'!$E$4,$V94-4,0))</f>
        <v>CID002541</v>
      </c>
      <c r="G94" s="215" t="str">
        <f ca="1">IF(C94=$X$4,"Enter smelter details",IF(ISERROR($V94),"",OFFSET('Smelter Look-up'!$F$4,$V94-4,0)))</f>
        <v>RMI</v>
      </c>
      <c r="H94" s="216">
        <f ca="1">IF(ISERROR($V94),"",OFFSET('Smelter Look-up'!$G$4,$V94-4,0))</f>
        <v>0</v>
      </c>
      <c r="I94" s="217" t="str">
        <f ca="1">IF(ISERROR($V94),"",OFFSET('Smelter Look-up'!$H$4,$V94-4,0))</f>
        <v>Goslar</v>
      </c>
      <c r="J94" s="217" t="str">
        <f ca="1">IF(ISERROR($V94),"",OFFSET('Smelter Look-up'!$I$4,$V94-4,0))</f>
        <v>Niedersachsen</v>
      </c>
      <c r="K94" s="268"/>
      <c r="L94" s="268"/>
      <c r="M94" s="268"/>
      <c r="N94" s="268"/>
      <c r="O94" s="268"/>
      <c r="P94" s="218"/>
      <c r="Q94" s="358" t="s">
        <v>15632</v>
      </c>
      <c r="R94" s="215" t="str">
        <f ca="1">IF(ISERROR($V94),"",OFFSET('Smelter Look-up'!$C$4,$V94-4,0)&amp;"")</f>
        <v>H.C. Starck Tungsten GmbH</v>
      </c>
      <c r="S94" s="222" t="str">
        <f t="shared" ca="1" si="12"/>
        <v>DE</v>
      </c>
      <c r="T94" s="222" t="str">
        <f ca="1">IF(B94="","",IF(ISERROR(MATCH($J94,SorP!$B$1:$B$6230,0)),"",INDIRECT("'SorP'!$A$"&amp;MATCH($J94,SorP!$B$1:$B$6230,0))))</f>
        <v>DE-NI</v>
      </c>
      <c r="U94" s="238"/>
      <c r="V94" s="270">
        <f>IF(C94="",NA(),MATCH($B94&amp;$C94,'Smelter Look-up'!$J:$J,0))</f>
        <v>564</v>
      </c>
      <c r="W94" s="271"/>
      <c r="X94" s="271">
        <f t="shared" ca="1" si="13"/>
        <v>0</v>
      </c>
      <c r="Y94" s="271"/>
      <c r="Z94" s="271"/>
      <c r="AB94" s="273" t="str">
        <f t="shared" si="14"/>
        <v>TungstenH.C. Starck Tungsten GmbH</v>
      </c>
    </row>
    <row r="95" spans="1:28" s="272" customFormat="1" ht="20.100000000000001" customHeight="1">
      <c r="A95" s="214"/>
      <c r="B95" s="215" t="s">
        <v>1130</v>
      </c>
      <c r="C95" s="219" t="s">
        <v>2331</v>
      </c>
      <c r="D95" s="278"/>
      <c r="E95" s="215" t="str">
        <f ca="1">IF(ISERROR($V95),"",OFFSET('Smelter Look-up'!$D$4,$V95-4,0)&amp;"")</f>
        <v>SWITZERLAND</v>
      </c>
      <c r="F95" s="215" t="str">
        <f ca="1">IF(ISERROR($V95),"",OFFSET('Smelter Look-up'!$E$4,$V95-4,0))</f>
        <v>CID001153</v>
      </c>
      <c r="G95" s="215" t="str">
        <f ca="1">IF(C95=$X$4,"Enter smelter details",IF(ISERROR($V95),"",OFFSET('Smelter Look-up'!$F$4,$V95-4,0)))</f>
        <v>RMI</v>
      </c>
      <c r="H95" s="216">
        <f ca="1">IF(ISERROR($V95),"",OFFSET('Smelter Look-up'!$G$4,$V95-4,0))</f>
        <v>0</v>
      </c>
      <c r="I95" s="217" t="str">
        <f ca="1">IF(ISERROR($V95),"",OFFSET('Smelter Look-up'!$H$4,$V95-4,0))</f>
        <v>Marin</v>
      </c>
      <c r="J95" s="217" t="str">
        <f ca="1">IF(ISERROR($V95),"",OFFSET('Smelter Look-up'!$I$4,$V95-4,0))</f>
        <v>Neuchâtel</v>
      </c>
      <c r="K95" s="268"/>
      <c r="L95" s="268"/>
      <c r="M95" s="268"/>
      <c r="N95" s="268"/>
      <c r="O95" s="268"/>
      <c r="P95" s="218"/>
      <c r="Q95" s="358" t="s">
        <v>15633</v>
      </c>
      <c r="R95" s="215" t="str">
        <f ca="1">IF(ISERROR($V95),"",OFFSET('Smelter Look-up'!$C$4,$V95-4,0)&amp;"")</f>
        <v>Metalor Technologies S.A.</v>
      </c>
      <c r="S95" s="222" t="str">
        <f t="shared" ca="1" si="12"/>
        <v>CH</v>
      </c>
      <c r="T95" s="222" t="str">
        <f ca="1">IF(B95="","",IF(ISERROR(MATCH($J95,SorP!$B$1:$B$6230,0)),"",INDIRECT("'SorP'!$A$"&amp;MATCH($J95,SorP!$B$1:$B$6230,0))))</f>
        <v>CH-NE</v>
      </c>
      <c r="U95" s="238"/>
      <c r="V95" s="270">
        <f>IF(C95="",NA(),MATCH($B95&amp;$C95,'Smelter Look-up'!$J:$J,0))</f>
        <v>171</v>
      </c>
      <c r="W95" s="271"/>
      <c r="X95" s="271">
        <f t="shared" ca="1" si="13"/>
        <v>0</v>
      </c>
      <c r="Y95" s="271"/>
      <c r="Z95" s="271"/>
      <c r="AB95" s="273" t="str">
        <f t="shared" si="14"/>
        <v>GoldMetalor Technologies S.A.</v>
      </c>
    </row>
    <row r="96" spans="1:28" s="272" customFormat="1" ht="20.100000000000001" customHeight="1">
      <c r="A96" s="214"/>
      <c r="B96" s="215" t="s">
        <v>1132</v>
      </c>
      <c r="C96" s="219" t="s">
        <v>2</v>
      </c>
      <c r="D96" s="278"/>
      <c r="E96" s="215" t="str">
        <f ca="1">IF(ISERROR($V96),"",OFFSET('Smelter Look-up'!$D$4,$V96-4,0)&amp;"")</f>
        <v>CHINA</v>
      </c>
      <c r="F96" s="215" t="str">
        <f ca="1">IF(ISERROR($V96),"",OFFSET('Smelter Look-up'!$E$4,$V96-4,0))</f>
        <v>CID000211</v>
      </c>
      <c r="G96" s="215" t="str">
        <f ca="1">IF(C96=$X$4,"Enter smelter details",IF(ISERROR($V96),"",OFFSET('Smelter Look-up'!$F$4,$V96-4,0)))</f>
        <v>RMI</v>
      </c>
      <c r="H96" s="216">
        <f ca="1">IF(ISERROR($V96),"",OFFSET('Smelter Look-up'!$G$4,$V96-4,0))</f>
        <v>0</v>
      </c>
      <c r="I96" s="217" t="str">
        <f ca="1">IF(ISERROR($V96),"",OFFSET('Smelter Look-up'!$H$4,$V96-4,0))</f>
        <v>Changsha</v>
      </c>
      <c r="J96" s="217" t="str">
        <f ca="1">IF(ISERROR($V96),"",OFFSET('Smelter Look-up'!$I$4,$V96-4,0))</f>
        <v>Hunan Sheng</v>
      </c>
      <c r="K96" s="268"/>
      <c r="L96" s="268"/>
      <c r="M96" s="268"/>
      <c r="N96" s="268"/>
      <c r="O96" s="268"/>
      <c r="P96" s="218"/>
      <c r="Q96" s="358" t="s">
        <v>15634</v>
      </c>
      <c r="R96" s="215" t="str">
        <f ca="1">IF(ISERROR($V96),"",OFFSET('Smelter Look-up'!$C$4,$V96-4,0)&amp;"")</f>
        <v>Changsha South Tantalum Niobium Co., Ltd.</v>
      </c>
      <c r="S96" s="222" t="str">
        <f t="shared" ca="1" si="12"/>
        <v>CN</v>
      </c>
      <c r="T96" s="222" t="str">
        <f ca="1">IF(B96="","",IF(ISERROR(MATCH($J96,SorP!$B$1:$B$6230,0)),"",INDIRECT("'SorP'!$A$"&amp;MATCH($J96,SorP!$B$1:$B$6230,0))))</f>
        <v>CN-HN</v>
      </c>
      <c r="U96" s="238"/>
      <c r="V96" s="270">
        <f>IF(C96="",NA(),MATCH($B96&amp;$C96,'Smelter Look-up'!$J:$J,0))</f>
        <v>316</v>
      </c>
      <c r="W96" s="271"/>
      <c r="X96" s="271">
        <f t="shared" ca="1" si="13"/>
        <v>0</v>
      </c>
      <c r="Y96" s="271"/>
      <c r="Z96" s="271"/>
      <c r="AB96" s="273" t="str">
        <f t="shared" si="14"/>
        <v>TantalumChangsha South Tantalum Niobium Co., Ltd.</v>
      </c>
    </row>
    <row r="97" spans="1:28" s="272" customFormat="1" ht="20.100000000000001" customHeight="1">
      <c r="A97" s="214"/>
      <c r="B97" s="215" t="s">
        <v>1132</v>
      </c>
      <c r="C97" s="219" t="s">
        <v>1420</v>
      </c>
      <c r="D97" s="278"/>
      <c r="E97" s="215" t="str">
        <f ca="1">IF(ISERROR($V97),"",OFFSET('Smelter Look-up'!$D$4,$V97-4,0)&amp;"")</f>
        <v>UNITED STATES OF AMERICA</v>
      </c>
      <c r="F97" s="215" t="str">
        <f ca="1">IF(ISERROR($V97),"",OFFSET('Smelter Look-up'!$E$4,$V97-4,0))</f>
        <v>CID002548</v>
      </c>
      <c r="G97" s="215" t="str">
        <f ca="1">IF(C97=$X$4,"Enter smelter details",IF(ISERROR($V97),"",OFFSET('Smelter Look-up'!$F$4,$V97-4,0)))</f>
        <v>RMI</v>
      </c>
      <c r="H97" s="216">
        <f ca="1">IF(ISERROR($V97),"",OFFSET('Smelter Look-up'!$G$4,$V97-4,0))</f>
        <v>0</v>
      </c>
      <c r="I97" s="217" t="str">
        <f ca="1">IF(ISERROR($V97),"",OFFSET('Smelter Look-up'!$H$4,$V97-4,0))</f>
        <v>Newton</v>
      </c>
      <c r="J97" s="217" t="str">
        <f ca="1">IF(ISERROR($V97),"",OFFSET('Smelter Look-up'!$I$4,$V97-4,0))</f>
        <v>Massachusetts</v>
      </c>
      <c r="K97" s="268"/>
      <c r="L97" s="268"/>
      <c r="M97" s="268"/>
      <c r="N97" s="268"/>
      <c r="O97" s="268"/>
      <c r="P97" s="218"/>
      <c r="Q97" s="358" t="s">
        <v>15634</v>
      </c>
      <c r="R97" s="215" t="str">
        <f ca="1">IF(ISERROR($V97),"",OFFSET('Smelter Look-up'!$C$4,$V97-4,0)&amp;"")</f>
        <v>H.C. Starck Inc.</v>
      </c>
      <c r="S97" s="222" t="str">
        <f t="shared" ca="1" si="12"/>
        <v>US</v>
      </c>
      <c r="T97" s="222" t="str">
        <f ca="1">IF(B97="","",IF(ISERROR(MATCH($J97,SorP!$B$1:$B$6230,0)),"",INDIRECT("'SorP'!$A$"&amp;MATCH($J97,SorP!$B$1:$B$6230,0))))</f>
        <v>US-MA</v>
      </c>
      <c r="U97" s="238"/>
      <c r="V97" s="270">
        <f>IF(C97="",NA(),MATCH($B97&amp;$C97,'Smelter Look-up'!$J:$J,0))</f>
        <v>328</v>
      </c>
      <c r="W97" s="271"/>
      <c r="X97" s="271">
        <f t="shared" ca="1" si="13"/>
        <v>0</v>
      </c>
      <c r="Y97" s="271"/>
      <c r="Z97" s="271"/>
      <c r="AB97" s="273" t="str">
        <f t="shared" si="14"/>
        <v>TantalumH.C. Starck Inc.</v>
      </c>
    </row>
    <row r="98" spans="1:28" s="272" customFormat="1" ht="20.100000000000001" customHeight="1">
      <c r="A98" s="214"/>
      <c r="B98" s="215" t="s">
        <v>1132</v>
      </c>
      <c r="C98" s="219" t="s">
        <v>1030</v>
      </c>
      <c r="D98" s="278"/>
      <c r="E98" s="215" t="str">
        <f ca="1">IF(ISERROR($V98),"",OFFSET('Smelter Look-up'!$D$4,$V98-4,0)&amp;"")</f>
        <v>CHINA</v>
      </c>
      <c r="F98" s="215" t="str">
        <f ca="1">IF(ISERROR($V98),"",OFFSET('Smelter Look-up'!$E$4,$V98-4,0))</f>
        <v>CID001277</v>
      </c>
      <c r="G98" s="215" t="str">
        <f ca="1">IF(C98=$X$4,"Enter smelter details",IF(ISERROR($V98),"",OFFSET('Smelter Look-up'!$F$4,$V98-4,0)))</f>
        <v>RMI</v>
      </c>
      <c r="H98" s="216">
        <f ca="1">IF(ISERROR($V98),"",OFFSET('Smelter Look-up'!$G$4,$V98-4,0))</f>
        <v>0</v>
      </c>
      <c r="I98" s="217" t="str">
        <f ca="1">IF(ISERROR($V98),"",OFFSET('Smelter Look-up'!$H$4,$V98-4,0))</f>
        <v>Shizuishan City</v>
      </c>
      <c r="J98" s="217" t="str">
        <f ca="1">IF(ISERROR($V98),"",OFFSET('Smelter Look-up'!$I$4,$V98-4,0))</f>
        <v>Ningxia Huizi Zizhiqu</v>
      </c>
      <c r="K98" s="268"/>
      <c r="L98" s="268"/>
      <c r="M98" s="268"/>
      <c r="N98" s="268"/>
      <c r="O98" s="268"/>
      <c r="P98" s="218"/>
      <c r="Q98" s="358" t="s">
        <v>15635</v>
      </c>
      <c r="R98" s="215" t="str">
        <f ca="1">IF(ISERROR($V98),"",OFFSET('Smelter Look-up'!$C$4,$V98-4,0)&amp;"")</f>
        <v>Ningxia Orient Tantalum Industry Co., Ltd.</v>
      </c>
      <c r="S98" s="222" t="str">
        <f t="shared" ca="1" si="12"/>
        <v>CN</v>
      </c>
      <c r="T98" s="222" t="str">
        <f ca="1">IF(B98="","",IF(ISERROR(MATCH($J98,SorP!$B$1:$B$6230,0)),"",INDIRECT("'SorP'!$A$"&amp;MATCH($J98,SorP!$B$1:$B$6230,0))))</f>
        <v>CN-NX</v>
      </c>
      <c r="U98" s="238"/>
      <c r="V98" s="270">
        <f>IF(C98="",NA(),MATCH($B98&amp;$C98,'Smelter Look-up'!$J:$J,0))</f>
        <v>352</v>
      </c>
      <c r="W98" s="271"/>
      <c r="X98" s="271">
        <f t="shared" ca="1" si="13"/>
        <v>0</v>
      </c>
      <c r="Y98" s="271"/>
      <c r="Z98" s="271"/>
      <c r="AB98" s="273" t="str">
        <f t="shared" si="14"/>
        <v>TantalumNingxia Orient Tantalum Industry Co., Ltd.</v>
      </c>
    </row>
    <row r="99" spans="1:28" s="272" customFormat="1" ht="20.100000000000001" customHeight="1">
      <c r="A99" s="214"/>
      <c r="B99" s="215" t="s">
        <v>1130</v>
      </c>
      <c r="C99" s="219" t="s">
        <v>1167</v>
      </c>
      <c r="D99" s="278"/>
      <c r="E99" s="215" t="str">
        <f ca="1">IF(ISERROR($V99),"",OFFSET('Smelter Look-up'!$D$4,$V99-4,0)&amp;"")</f>
        <v>SWITZERLAND</v>
      </c>
      <c r="F99" s="215" t="str">
        <f ca="1">IF(ISERROR($V99),"",OFFSET('Smelter Look-up'!$E$4,$V99-4,0))</f>
        <v>CID001153</v>
      </c>
      <c r="G99" s="215" t="str">
        <f ca="1">IF(C99=$X$4,"Enter smelter details",IF(ISERROR($V99),"",OFFSET('Smelter Look-up'!$F$4,$V99-4,0)))</f>
        <v>RMI</v>
      </c>
      <c r="H99" s="216">
        <f ca="1">IF(ISERROR($V99),"",OFFSET('Smelter Look-up'!$G$4,$V99-4,0))</f>
        <v>0</v>
      </c>
      <c r="I99" s="217" t="str">
        <f ca="1">IF(ISERROR($V99),"",OFFSET('Smelter Look-up'!$H$4,$V99-4,0))</f>
        <v>Marin</v>
      </c>
      <c r="J99" s="217" t="str">
        <f ca="1">IF(ISERROR($V99),"",OFFSET('Smelter Look-up'!$I$4,$V99-4,0))</f>
        <v>Neuchâtel</v>
      </c>
      <c r="K99" s="268"/>
      <c r="L99" s="268"/>
      <c r="M99" s="268"/>
      <c r="N99" s="268"/>
      <c r="O99" s="268"/>
      <c r="P99" s="218"/>
      <c r="Q99" s="358" t="s">
        <v>15635</v>
      </c>
      <c r="R99" s="215" t="str">
        <f ca="1">IF(ISERROR($V99),"",OFFSET('Smelter Look-up'!$C$4,$V99-4,0)&amp;"")</f>
        <v>Metalor Technologies S.A.</v>
      </c>
      <c r="S99" s="222" t="str">
        <f t="shared" ca="1" si="12"/>
        <v>CH</v>
      </c>
      <c r="T99" s="222" t="str">
        <f ca="1">IF(B99="","",IF(ISERROR(MATCH($J99,SorP!$B$1:$B$6230,0)),"",INDIRECT("'SorP'!$A$"&amp;MATCH($J99,SorP!$B$1:$B$6230,0))))</f>
        <v>CH-NE</v>
      </c>
      <c r="U99" s="238"/>
      <c r="V99" s="270">
        <f>IF(C99="",NA(),MATCH($B99&amp;$C99,'Smelter Look-up'!$J:$J,0))</f>
        <v>167</v>
      </c>
      <c r="W99" s="271"/>
      <c r="X99" s="271">
        <f t="shared" ca="1" si="13"/>
        <v>0</v>
      </c>
      <c r="Y99" s="271"/>
      <c r="Z99" s="271"/>
      <c r="AB99" s="273" t="str">
        <f t="shared" si="14"/>
        <v>GoldMetalor Switzerland</v>
      </c>
    </row>
    <row r="100" spans="1:28" s="272" customFormat="1" ht="20.100000000000001" customHeight="1">
      <c r="A100" s="214"/>
      <c r="B100" s="215" t="s">
        <v>1130</v>
      </c>
      <c r="C100" s="219" t="s">
        <v>2358</v>
      </c>
      <c r="D100" s="278"/>
      <c r="E100" s="215" t="str">
        <f ca="1">IF(ISERROR($V100),"",OFFSET('Smelter Look-up'!$D$4,$V100-4,0)&amp;"")</f>
        <v>BELGIUM</v>
      </c>
      <c r="F100" s="215" t="str">
        <f ca="1">IF(ISERROR($V100),"",OFFSET('Smelter Look-up'!$E$4,$V100-4,0))</f>
        <v>CID001980</v>
      </c>
      <c r="G100" s="215" t="str">
        <f ca="1">IF(C100=$X$4,"Enter smelter details",IF(ISERROR($V100),"",OFFSET('Smelter Look-up'!$F$4,$V100-4,0)))</f>
        <v>RMI</v>
      </c>
      <c r="H100" s="216">
        <f ca="1">IF(ISERROR($V100),"",OFFSET('Smelter Look-up'!$G$4,$V100-4,0))</f>
        <v>0</v>
      </c>
      <c r="I100" s="217" t="str">
        <f ca="1">IF(ISERROR($V100),"",OFFSET('Smelter Look-up'!$H$4,$V100-4,0))</f>
        <v>Hoboken</v>
      </c>
      <c r="J100" s="217" t="str">
        <f ca="1">IF(ISERROR($V100),"",OFFSET('Smelter Look-up'!$I$4,$V100-4,0))</f>
        <v>Antwerpen</v>
      </c>
      <c r="K100" s="268"/>
      <c r="L100" s="268"/>
      <c r="M100" s="268"/>
      <c r="N100" s="268"/>
      <c r="O100" s="268"/>
      <c r="P100" s="218"/>
      <c r="Q100" s="358" t="s">
        <v>15636</v>
      </c>
      <c r="R100" s="215" t="str">
        <f ca="1">IF(ISERROR($V100),"",OFFSET('Smelter Look-up'!$C$4,$V100-4,0)&amp;"")</f>
        <v>Umicore S.A. Business Unit Precious Metals Refining</v>
      </c>
      <c r="S100" s="222" t="str">
        <f t="shared" ca="1" si="12"/>
        <v>BE</v>
      </c>
      <c r="T100" s="222" t="str">
        <f ca="1">IF(B100="","",IF(ISERROR(MATCH($J100,SorP!$B$1:$B$6230,0)),"",INDIRECT("'SorP'!$A$"&amp;MATCH($J100,SorP!$B$1:$B$6230,0))))</f>
        <v>BE-VAN</v>
      </c>
      <c r="U100" s="238"/>
      <c r="V100" s="270">
        <f>IF(C100="",NA(),MATCH($B100&amp;$C100,'Smelter Look-up'!$J:$J,0))</f>
        <v>286</v>
      </c>
      <c r="W100" s="271"/>
      <c r="X100" s="271">
        <f t="shared" ca="1" si="13"/>
        <v>0</v>
      </c>
      <c r="Y100" s="271"/>
      <c r="Z100" s="271"/>
      <c r="AB100" s="273" t="str">
        <f t="shared" si="14"/>
        <v>GoldUmicore S.A. Business Unit Precious Metals Refining</v>
      </c>
    </row>
    <row r="101" spans="1:28" s="272" customFormat="1" ht="19.899999999999999" customHeight="1">
      <c r="A101" s="214"/>
      <c r="B101" s="215" t="s">
        <v>1133</v>
      </c>
      <c r="C101" s="219" t="s">
        <v>151</v>
      </c>
      <c r="D101" s="278"/>
      <c r="E101" s="215" t="str">
        <f ca="1">IF(ISERROR($V101),"",OFFSET('Smelter Look-up'!$D$4,$V101-4,0)&amp;"")</f>
        <v>CHINA</v>
      </c>
      <c r="F101" s="215" t="str">
        <f ca="1">IF(ISERROR($V101),"",OFFSET('Smelter Look-up'!$E$4,$V101-4,0))</f>
        <v>CID002315</v>
      </c>
      <c r="G101" s="215" t="str">
        <f ca="1">IF(C101=$X$4,"Enter smelter details",IF(ISERROR($V101),"",OFFSET('Smelter Look-up'!$F$4,$V101-4,0)))</f>
        <v>RMI</v>
      </c>
      <c r="H101" s="216">
        <f ca="1">IF(ISERROR($V101),"",OFFSET('Smelter Look-up'!$G$4,$V101-4,0))</f>
        <v>0</v>
      </c>
      <c r="I101" s="217" t="str">
        <f ca="1">IF(ISERROR($V101),"",OFFSET('Smelter Look-up'!$H$4,$V101-4,0))</f>
        <v>Ganzhou</v>
      </c>
      <c r="J101" s="217" t="str">
        <f ca="1">IF(ISERROR($V101),"",OFFSET('Smelter Look-up'!$I$4,$V101-4,0))</f>
        <v>Jiangxi Sheng</v>
      </c>
      <c r="K101" s="268"/>
      <c r="L101" s="268"/>
      <c r="M101" s="268"/>
      <c r="N101" s="268"/>
      <c r="O101" s="268"/>
      <c r="P101" s="218"/>
      <c r="Q101" s="358" t="s">
        <v>15637</v>
      </c>
      <c r="R101" s="215" t="str">
        <f ca="1">IF(ISERROR($V101),"",OFFSET('Smelter Look-up'!$C$4,$V101-4,0)&amp;"")</f>
        <v>Ganzhou Jiangwu Ferrotungsten Co., Ltd.</v>
      </c>
      <c r="S101" s="222" t="str">
        <f t="shared" ca="1" si="12"/>
        <v>CN</v>
      </c>
      <c r="T101" s="222" t="str">
        <f ca="1">IF(B101="","",IF(ISERROR(MATCH($J101,SorP!$B$1:$B$6230,0)),"",INDIRECT("'SorP'!$A$"&amp;MATCH($J101,SorP!$B$1:$B$6230,0))))</f>
        <v>CN-JX</v>
      </c>
      <c r="U101" s="238"/>
      <c r="V101" s="270">
        <f>IF(C101="",NA(),MATCH($B101&amp;$C101,'Smelter Look-up'!$J:$J,0))</f>
        <v>557</v>
      </c>
      <c r="W101" s="271"/>
      <c r="X101" s="271">
        <f t="shared" ca="1" si="13"/>
        <v>0</v>
      </c>
      <c r="Y101" s="271"/>
      <c r="Z101" s="271"/>
      <c r="AB101" s="273" t="str">
        <f t="shared" si="14"/>
        <v>TungstenGanzhou Jiangwu Ferrotungsten Co., Ltd.</v>
      </c>
    </row>
    <row r="102" spans="1:28" s="272" customFormat="1" ht="19.899999999999999" customHeight="1">
      <c r="A102" s="214"/>
      <c r="B102" s="215" t="s">
        <v>1133</v>
      </c>
      <c r="C102" s="219" t="s">
        <v>2573</v>
      </c>
      <c r="D102" s="278"/>
      <c r="E102" s="215" t="str">
        <f ca="1">IF(ISERROR($V102),"",OFFSET('Smelter Look-up'!$D$4,$V102-4,0)&amp;"")</f>
        <v>RUSSIAN FEDERATION</v>
      </c>
      <c r="F102" s="215" t="str">
        <f ca="1">IF(ISERROR($V102),"",OFFSET('Smelter Look-up'!$E$4,$V102-4,0))</f>
        <v>CID002845</v>
      </c>
      <c r="G102" s="215" t="str">
        <f ca="1">IF(C102=$X$4,"Enter smelter details",IF(ISERROR($V102),"",OFFSET('Smelter Look-up'!$F$4,$V102-4,0)))</f>
        <v>RMI</v>
      </c>
      <c r="H102" s="216">
        <f ca="1">IF(ISERROR($V102),"",OFFSET('Smelter Look-up'!$G$4,$V102-4,0))</f>
        <v>0</v>
      </c>
      <c r="I102" s="217" t="str">
        <f ca="1">IF(ISERROR($V102),"",OFFSET('Smelter Look-up'!$H$4,$V102-4,0))</f>
        <v>Roshal</v>
      </c>
      <c r="J102" s="217" t="str">
        <f ca="1">IF(ISERROR($V102),"",OFFSET('Smelter Look-up'!$I$4,$V102-4,0))</f>
        <v>Moskovskaja oblast'</v>
      </c>
      <c r="K102" s="268"/>
      <c r="L102" s="268"/>
      <c r="M102" s="268"/>
      <c r="N102" s="268"/>
      <c r="O102" s="268"/>
      <c r="P102" s="218"/>
      <c r="Q102" s="358" t="s">
        <v>15637</v>
      </c>
      <c r="R102" s="215" t="str">
        <f ca="1">IF(ISERROR($V102),"",OFFSET('Smelter Look-up'!$C$4,$V102-4,0)&amp;"")</f>
        <v>Moliren Ltd.</v>
      </c>
      <c r="S102" s="222" t="str">
        <f t="shared" ref="S102:S132" ca="1" si="15">IF(B102="","",IF(ISERROR(MATCH($E102,CL,0)),"Unknown",INDIRECT("'C'!$A$"&amp;MATCH($E102,CL,0)+1)))</f>
        <v>RU</v>
      </c>
      <c r="T102" s="222" t="str">
        <f ca="1">IF(B102="","",IF(ISERROR(MATCH($J102,SorP!$B$1:$B$6230,0)),"",INDIRECT("'SorP'!$A$"&amp;MATCH($J102,SorP!$B$1:$B$6230,0))))</f>
        <v>RU-MOS</v>
      </c>
      <c r="U102" s="238"/>
      <c r="V102" s="270">
        <f>IF(C102="",NA(),MATCH($B102&amp;$C102,'Smelter Look-up'!$J:$J,0))</f>
        <v>589</v>
      </c>
      <c r="W102" s="271"/>
      <c r="X102" s="271">
        <f t="shared" ref="X102:X132" ca="1" si="16">IF(AND(C102="Smelter not listed",OR(LEN(D102)=0,LEN(E102)=0)),1,0)</f>
        <v>0</v>
      </c>
      <c r="Y102" s="271"/>
      <c r="Z102" s="271"/>
      <c r="AB102" s="273" t="str">
        <f t="shared" ref="AB102:AB132" si="17">B102&amp;C102</f>
        <v>TungstenMoliren Ltd.</v>
      </c>
    </row>
    <row r="103" spans="1:28" s="272" customFormat="1" ht="19.899999999999999" customHeight="1">
      <c r="A103" s="214"/>
      <c r="B103" s="215" t="s">
        <v>1133</v>
      </c>
      <c r="C103" s="219" t="s">
        <v>2478</v>
      </c>
      <c r="D103" s="278"/>
      <c r="E103" s="215" t="str">
        <f ca="1">IF(ISERROR($V103),"",OFFSET('Smelter Look-up'!$D$4,$V103-4,0)&amp;"")</f>
        <v>RUSSIAN FEDERATION</v>
      </c>
      <c r="F103" s="215" t="str">
        <f ca="1">IF(ISERROR($V103),"",OFFSET('Smelter Look-up'!$E$4,$V103-4,0))</f>
        <v>CID002724</v>
      </c>
      <c r="G103" s="215" t="str">
        <f ca="1">IF(C103=$X$4,"Enter smelter details",IF(ISERROR($V103),"",OFFSET('Smelter Look-up'!$F$4,$V103-4,0)))</f>
        <v>RMI</v>
      </c>
      <c r="H103" s="216">
        <f ca="1">IF(ISERROR($V103),"",OFFSET('Smelter Look-up'!$G$4,$V103-4,0))</f>
        <v>0</v>
      </c>
      <c r="I103" s="217" t="str">
        <f ca="1">IF(ISERROR($V103),"",OFFSET('Smelter Look-up'!$H$4,$V103-4,0))</f>
        <v>Unecha</v>
      </c>
      <c r="J103" s="217" t="str">
        <f ca="1">IF(ISERROR($V103),"",OFFSET('Smelter Look-up'!$I$4,$V103-4,0))</f>
        <v>Bryanskaya oblast'</v>
      </c>
      <c r="K103" s="268"/>
      <c r="L103" s="268"/>
      <c r="M103" s="268"/>
      <c r="N103" s="268"/>
      <c r="O103" s="268"/>
      <c r="P103" s="218"/>
      <c r="Q103" s="358" t="s">
        <v>15637</v>
      </c>
      <c r="R103" s="215" t="str">
        <f ca="1">IF(ISERROR($V103),"",OFFSET('Smelter Look-up'!$C$4,$V103-4,0)&amp;"")</f>
        <v>Unecha Refractory metals plant</v>
      </c>
      <c r="S103" s="222" t="str">
        <f t="shared" ca="1" si="15"/>
        <v>RU</v>
      </c>
      <c r="T103" s="222" t="str">
        <f ca="1">IF(B103="","",IF(ISERROR(MATCH($J103,SorP!$B$1:$B$6230,0)),"",INDIRECT("'SorP'!$A$"&amp;MATCH($J103,SorP!$B$1:$B$6230,0))))</f>
        <v>RU-BRY</v>
      </c>
      <c r="U103" s="238"/>
      <c r="V103" s="270">
        <f>IF(C103="",NA(),MATCH($B103&amp;$C103,'Smelter Look-up'!$J:$J,0))</f>
        <v>597</v>
      </c>
      <c r="W103" s="271"/>
      <c r="X103" s="271">
        <f t="shared" ca="1" si="16"/>
        <v>0</v>
      </c>
      <c r="Y103" s="271"/>
      <c r="Z103" s="271"/>
      <c r="AB103" s="273" t="str">
        <f t="shared" si="17"/>
        <v>TungstenUnecha Refractory metals plant</v>
      </c>
    </row>
    <row r="104" spans="1:28" s="272" customFormat="1" ht="19.899999999999999" customHeight="1">
      <c r="A104" s="214"/>
      <c r="B104" s="215" t="s">
        <v>1133</v>
      </c>
      <c r="C104" s="219" t="s">
        <v>1381</v>
      </c>
      <c r="D104" s="278"/>
      <c r="E104" s="215" t="str">
        <f ca="1">IF(ISERROR($V104),"",OFFSET('Smelter Look-up'!$D$4,$V104-4,0)&amp;"")</f>
        <v>CHINA</v>
      </c>
      <c r="F104" s="215" t="str">
        <f ca="1">IF(ISERROR($V104),"",OFFSET('Smelter Look-up'!$E$4,$V104-4,0))</f>
        <v>CID000769</v>
      </c>
      <c r="G104" s="215" t="str">
        <f ca="1">IF(C104=$X$4,"Enter smelter details",IF(ISERROR($V104),"",OFFSET('Smelter Look-up'!$F$4,$V104-4,0)))</f>
        <v>RMI</v>
      </c>
      <c r="H104" s="216">
        <f ca="1">IF(ISERROR($V104),"",OFFSET('Smelter Look-up'!$G$4,$V104-4,0))</f>
        <v>0</v>
      </c>
      <c r="I104" s="217" t="str">
        <f ca="1">IF(ISERROR($V104),"",OFFSET('Smelter Look-up'!$H$4,$V104-4,0))</f>
        <v>Hengyang</v>
      </c>
      <c r="J104" s="217" t="str">
        <f ca="1">IF(ISERROR($V104),"",OFFSET('Smelter Look-up'!$I$4,$V104-4,0))</f>
        <v>Hunan Sheng</v>
      </c>
      <c r="K104" s="268"/>
      <c r="L104" s="268"/>
      <c r="M104" s="268"/>
      <c r="N104" s="268"/>
      <c r="O104" s="268"/>
      <c r="P104" s="218"/>
      <c r="Q104" s="358" t="s">
        <v>15637</v>
      </c>
      <c r="R104" s="215" t="str">
        <f ca="1">IF(ISERROR($V104),"",OFFSET('Smelter Look-up'!$C$4,$V104-4,0)&amp;"")</f>
        <v>Hunan Chunchang Nonferrous Metals Co., Ltd.</v>
      </c>
      <c r="S104" s="222" t="str">
        <f t="shared" ca="1" si="15"/>
        <v>CN</v>
      </c>
      <c r="T104" s="222" t="str">
        <f ca="1">IF(B104="","",IF(ISERROR(MATCH($J104,SorP!$B$1:$B$6230,0)),"",INDIRECT("'SorP'!$A$"&amp;MATCH($J104,SorP!$B$1:$B$6230,0))))</f>
        <v>CN-HN</v>
      </c>
      <c r="U104" s="238"/>
      <c r="V104" s="270">
        <f>IF(C104="",NA(),MATCH($B104&amp;$C104,'Smelter Look-up'!$J:$J,0))</f>
        <v>569</v>
      </c>
      <c r="W104" s="271"/>
      <c r="X104" s="271">
        <f t="shared" ca="1" si="16"/>
        <v>0</v>
      </c>
      <c r="Y104" s="271"/>
      <c r="Z104" s="271"/>
      <c r="AB104" s="273" t="str">
        <f t="shared" si="17"/>
        <v>TungstenHunan Chunchang Nonferrous Metals Co., Ltd.</v>
      </c>
    </row>
    <row r="105" spans="1:28" s="272" customFormat="1" ht="19.899999999999999" customHeight="1">
      <c r="A105" s="214"/>
      <c r="B105" s="215" t="s">
        <v>1133</v>
      </c>
      <c r="C105" s="219" t="s">
        <v>149</v>
      </c>
      <c r="D105" s="278"/>
      <c r="E105" s="215" t="str">
        <f ca="1">IF(ISERROR($V105),"",OFFSET('Smelter Look-up'!$D$4,$V105-4,0)&amp;"")</f>
        <v>CHINA</v>
      </c>
      <c r="F105" s="215" t="str">
        <f ca="1">IF(ISERROR($V105),"",OFFSET('Smelter Look-up'!$E$4,$V105-4,0))</f>
        <v>CID000875</v>
      </c>
      <c r="G105" s="215" t="str">
        <f ca="1">IF(C105=$X$4,"Enter smelter details",IF(ISERROR($V105),"",OFFSET('Smelter Look-up'!$F$4,$V105-4,0)))</f>
        <v>RMI</v>
      </c>
      <c r="H105" s="216">
        <f ca="1">IF(ISERROR($V105),"",OFFSET('Smelter Look-up'!$G$4,$V105-4,0))</f>
        <v>0</v>
      </c>
      <c r="I105" s="217" t="str">
        <f ca="1">IF(ISERROR($V105),"",OFFSET('Smelter Look-up'!$H$4,$V105-4,0))</f>
        <v>Ganzhou</v>
      </c>
      <c r="J105" s="217" t="str">
        <f ca="1">IF(ISERROR($V105),"",OFFSET('Smelter Look-up'!$I$4,$V105-4,0))</f>
        <v>Jiangxi Sheng</v>
      </c>
      <c r="K105" s="268"/>
      <c r="L105" s="268"/>
      <c r="M105" s="268"/>
      <c r="N105" s="268"/>
      <c r="O105" s="268"/>
      <c r="P105" s="218"/>
      <c r="Q105" s="358" t="s">
        <v>15637</v>
      </c>
      <c r="R105" s="215" t="str">
        <f ca="1">IF(ISERROR($V105),"",OFFSET('Smelter Look-up'!$C$4,$V105-4,0)&amp;"")</f>
        <v>Ganzhou Huaxing Tungsten Products Co., Ltd.</v>
      </c>
      <c r="S105" s="222" t="str">
        <f t="shared" ca="1" si="15"/>
        <v>CN</v>
      </c>
      <c r="T105" s="222" t="str">
        <f ca="1">IF(B105="","",IF(ISERROR(MATCH($J105,SorP!$B$1:$B$6230,0)),"",INDIRECT("'SorP'!$A$"&amp;MATCH($J105,SorP!$B$1:$B$6230,0))))</f>
        <v>CN-JX</v>
      </c>
      <c r="U105" s="238"/>
      <c r="V105" s="270">
        <f>IF(C105="",NA(),MATCH($B105&amp;$C105,'Smelter Look-up'!$J:$J,0))</f>
        <v>556</v>
      </c>
      <c r="W105" s="271"/>
      <c r="X105" s="271">
        <f t="shared" ca="1" si="16"/>
        <v>0</v>
      </c>
      <c r="Y105" s="271"/>
      <c r="Z105" s="271"/>
      <c r="AB105" s="273" t="str">
        <f t="shared" si="17"/>
        <v>TungstenGanzhou Huaxing Tungsten Products Co., Ltd.</v>
      </c>
    </row>
    <row r="106" spans="1:28" s="272" customFormat="1" ht="19.899999999999999" customHeight="1">
      <c r="A106" s="214"/>
      <c r="B106" s="215" t="s">
        <v>1133</v>
      </c>
      <c r="C106" s="219" t="s">
        <v>151</v>
      </c>
      <c r="D106" s="278"/>
      <c r="E106" s="215" t="str">
        <f ca="1">IF(ISERROR($V106),"",OFFSET('Smelter Look-up'!$D$4,$V106-4,0)&amp;"")</f>
        <v>CHINA</v>
      </c>
      <c r="F106" s="215" t="str">
        <f ca="1">IF(ISERROR($V106),"",OFFSET('Smelter Look-up'!$E$4,$V106-4,0))</f>
        <v>CID002315</v>
      </c>
      <c r="G106" s="215" t="str">
        <f ca="1">IF(C106=$X$4,"Enter smelter details",IF(ISERROR($V106),"",OFFSET('Smelter Look-up'!$F$4,$V106-4,0)))</f>
        <v>RMI</v>
      </c>
      <c r="H106" s="216">
        <f ca="1">IF(ISERROR($V106),"",OFFSET('Smelter Look-up'!$G$4,$V106-4,0))</f>
        <v>0</v>
      </c>
      <c r="I106" s="217" t="str">
        <f ca="1">IF(ISERROR($V106),"",OFFSET('Smelter Look-up'!$H$4,$V106-4,0))</f>
        <v>Ganzhou</v>
      </c>
      <c r="J106" s="217" t="str">
        <f ca="1">IF(ISERROR($V106),"",OFFSET('Smelter Look-up'!$I$4,$V106-4,0))</f>
        <v>Jiangxi Sheng</v>
      </c>
      <c r="K106" s="268"/>
      <c r="L106" s="268"/>
      <c r="M106" s="268"/>
      <c r="N106" s="268"/>
      <c r="O106" s="268"/>
      <c r="P106" s="218"/>
      <c r="Q106" s="358" t="s">
        <v>15637</v>
      </c>
      <c r="R106" s="215" t="str">
        <f ca="1">IF(ISERROR($V106),"",OFFSET('Smelter Look-up'!$C$4,$V106-4,0)&amp;"")</f>
        <v>Ganzhou Jiangwu Ferrotungsten Co., Ltd.</v>
      </c>
      <c r="S106" s="222" t="str">
        <f t="shared" ca="1" si="15"/>
        <v>CN</v>
      </c>
      <c r="T106" s="222" t="str">
        <f ca="1">IF(B106="","",IF(ISERROR(MATCH($J106,SorP!$B$1:$B$6230,0)),"",INDIRECT("'SorP'!$A$"&amp;MATCH($J106,SorP!$B$1:$B$6230,0))))</f>
        <v>CN-JX</v>
      </c>
      <c r="U106" s="238"/>
      <c r="V106" s="270">
        <f>IF(C106="",NA(),MATCH($B106&amp;$C106,'Smelter Look-up'!$J:$J,0))</f>
        <v>557</v>
      </c>
      <c r="W106" s="271"/>
      <c r="X106" s="271">
        <f t="shared" ca="1" si="16"/>
        <v>0</v>
      </c>
      <c r="Y106" s="271"/>
      <c r="Z106" s="271"/>
      <c r="AB106" s="273" t="str">
        <f t="shared" si="17"/>
        <v>TungstenGanzhou Jiangwu Ferrotungsten Co., Ltd.</v>
      </c>
    </row>
    <row r="107" spans="1:28" s="272" customFormat="1" ht="19.899999999999999" customHeight="1">
      <c r="A107" s="214"/>
      <c r="B107" s="215" t="s">
        <v>1133</v>
      </c>
      <c r="C107" s="219" t="s">
        <v>14051</v>
      </c>
      <c r="D107" s="278"/>
      <c r="E107" s="215" t="str">
        <f ca="1">IF(ISERROR($V107),"",OFFSET('Smelter Look-up'!$D$4,$V107-4,0)&amp;"")</f>
        <v>VIET NAM</v>
      </c>
      <c r="F107" s="215" t="str">
        <f ca="1">IF(ISERROR($V107),"",OFFSET('Smelter Look-up'!$E$4,$V107-4,0))</f>
        <v>CID002543</v>
      </c>
      <c r="G107" s="215" t="str">
        <f ca="1">IF(C107=$X$4,"Enter smelter details",IF(ISERROR($V107),"",OFFSET('Smelter Look-up'!$F$4,$V107-4,0)))</f>
        <v>RMI</v>
      </c>
      <c r="H107" s="216">
        <f ca="1">IF(ISERROR($V107),"",OFFSET('Smelter Look-up'!$G$4,$V107-4,0))</f>
        <v>0</v>
      </c>
      <c r="I107" s="217" t="str">
        <f ca="1">IF(ISERROR($V107),"",OFFSET('Smelter Look-up'!$H$4,$V107-4,0))</f>
        <v>Dai Tu</v>
      </c>
      <c r="J107" s="217" t="str">
        <f ca="1">IF(ISERROR($V107),"",OFFSET('Smelter Look-up'!$I$4,$V107-4,0))</f>
        <v>Thái Nguyên</v>
      </c>
      <c r="K107" s="268"/>
      <c r="L107" s="268"/>
      <c r="M107" s="268"/>
      <c r="N107" s="268"/>
      <c r="O107" s="268"/>
      <c r="P107" s="218"/>
      <c r="Q107" s="358" t="s">
        <v>15637</v>
      </c>
      <c r="R107" s="215" t="str">
        <f ca="1">IF(ISERROR($V107),"",OFFSET('Smelter Look-up'!$C$4,$V107-4,0)&amp;"")</f>
        <v>Masan High-Tech Materials</v>
      </c>
      <c r="S107" s="222" t="str">
        <f t="shared" ca="1" si="15"/>
        <v>VN</v>
      </c>
      <c r="T107" s="222" t="str">
        <f ca="1">IF(B107="","",IF(ISERROR(MATCH($J107,SorP!$B$1:$B$6230,0)),"",INDIRECT("'SorP'!$A$"&amp;MATCH($J107,SorP!$B$1:$B$6230,0))))</f>
        <v>VN-69</v>
      </c>
      <c r="U107" s="238"/>
      <c r="V107" s="270">
        <f>IF(C107="",NA(),MATCH($B107&amp;$C107,'Smelter Look-up'!$J:$J,0))</f>
        <v>588</v>
      </c>
      <c r="W107" s="271"/>
      <c r="X107" s="271">
        <f t="shared" ca="1" si="16"/>
        <v>0</v>
      </c>
      <c r="Y107" s="271"/>
      <c r="Z107" s="271"/>
      <c r="AB107" s="273" t="str">
        <f t="shared" si="17"/>
        <v>TungstenMasan Tungsten Chemical LLC (MTC)</v>
      </c>
    </row>
    <row r="108" spans="1:28" s="272" customFormat="1" ht="19.899999999999999" customHeight="1">
      <c r="A108" s="214"/>
      <c r="B108" s="215" t="s">
        <v>1133</v>
      </c>
      <c r="C108" s="219" t="s">
        <v>392</v>
      </c>
      <c r="D108" s="278"/>
      <c r="E108" s="215" t="str">
        <f ca="1">IF(ISERROR($V108),"",OFFSET('Smelter Look-up'!$D$4,$V108-4,0)&amp;"")</f>
        <v>CHINA</v>
      </c>
      <c r="F108" s="215" t="str">
        <f ca="1">IF(ISERROR($V108),"",OFFSET('Smelter Look-up'!$E$4,$V108-4,0))</f>
        <v>CID002494</v>
      </c>
      <c r="G108" s="215" t="str">
        <f ca="1">IF(C108=$X$4,"Enter smelter details",IF(ISERROR($V108),"",OFFSET('Smelter Look-up'!$F$4,$V108-4,0)))</f>
        <v>RMI</v>
      </c>
      <c r="H108" s="216">
        <f ca="1">IF(ISERROR($V108),"",OFFSET('Smelter Look-up'!$G$4,$V108-4,0))</f>
        <v>0</v>
      </c>
      <c r="I108" s="217" t="str">
        <f ca="1">IF(ISERROR($V108),"",OFFSET('Smelter Look-up'!$H$4,$V108-4,0))</f>
        <v>Ganzhou</v>
      </c>
      <c r="J108" s="217" t="str">
        <f ca="1">IF(ISERROR($V108),"",OFFSET('Smelter Look-up'!$I$4,$V108-4,0))</f>
        <v>Jiangxi Sheng</v>
      </c>
      <c r="K108" s="268"/>
      <c r="L108" s="268"/>
      <c r="M108" s="268"/>
      <c r="N108" s="268"/>
      <c r="O108" s="268"/>
      <c r="P108" s="218"/>
      <c r="Q108" s="358" t="s">
        <v>15637</v>
      </c>
      <c r="R108" s="215" t="str">
        <f ca="1">IF(ISERROR($V108),"",OFFSET('Smelter Look-up'!$C$4,$V108-4,0)&amp;"")</f>
        <v>Ganzhou Seadragon W &amp; Mo Co., Ltd.</v>
      </c>
      <c r="S108" s="222" t="str">
        <f t="shared" ca="1" si="15"/>
        <v>CN</v>
      </c>
      <c r="T108" s="222" t="str">
        <f ca="1">IF(B108="","",IF(ISERROR(MATCH($J108,SorP!$B$1:$B$6230,0)),"",INDIRECT("'SorP'!$A$"&amp;MATCH($J108,SorP!$B$1:$B$6230,0))))</f>
        <v>CN-JX</v>
      </c>
      <c r="U108" s="238"/>
      <c r="V108" s="270">
        <f>IF(C108="",NA(),MATCH($B108&amp;$C108,'Smelter Look-up'!$J:$J,0))</f>
        <v>558</v>
      </c>
      <c r="W108" s="271"/>
      <c r="X108" s="271">
        <f t="shared" ca="1" si="16"/>
        <v>0</v>
      </c>
      <c r="Y108" s="271"/>
      <c r="Z108" s="271"/>
      <c r="AB108" s="273" t="str">
        <f t="shared" si="17"/>
        <v>TungstenGanzhou Seadragon W &amp; Mo Co., Ltd.</v>
      </c>
    </row>
    <row r="109" spans="1:28" s="272" customFormat="1" ht="20.100000000000001" customHeight="1">
      <c r="A109" s="214"/>
      <c r="B109" s="215" t="s">
        <v>1133</v>
      </c>
      <c r="C109" s="219" t="s">
        <v>392</v>
      </c>
      <c r="D109" s="278"/>
      <c r="E109" s="215" t="str">
        <f ca="1">IF(ISERROR($V109),"",OFFSET('Smelter Look-up'!$D$4,$V109-4,0)&amp;"")</f>
        <v>CHINA</v>
      </c>
      <c r="F109" s="215" t="str">
        <f ca="1">IF(ISERROR($V109),"",OFFSET('Smelter Look-up'!$E$4,$V109-4,0))</f>
        <v>CID002494</v>
      </c>
      <c r="G109" s="215" t="str">
        <f ca="1">IF(C109=$X$4,"Enter smelter details",IF(ISERROR($V109),"",OFFSET('Smelter Look-up'!$F$4,$V109-4,0)))</f>
        <v>RMI</v>
      </c>
      <c r="H109" s="216">
        <f ca="1">IF(ISERROR($V109),"",OFFSET('Smelter Look-up'!$G$4,$V109-4,0))</f>
        <v>0</v>
      </c>
      <c r="I109" s="217" t="str">
        <f ca="1">IF(ISERROR($V109),"",OFFSET('Smelter Look-up'!$H$4,$V109-4,0))</f>
        <v>Ganzhou</v>
      </c>
      <c r="J109" s="217" t="str">
        <f ca="1">IF(ISERROR($V109),"",OFFSET('Smelter Look-up'!$I$4,$V109-4,0))</f>
        <v>Jiangxi Sheng</v>
      </c>
      <c r="K109" s="268"/>
      <c r="L109" s="268"/>
      <c r="M109" s="268"/>
      <c r="N109" s="268"/>
      <c r="O109" s="268"/>
      <c r="P109" s="218"/>
      <c r="Q109" s="358" t="s">
        <v>15638</v>
      </c>
      <c r="R109" s="215" t="str">
        <f ca="1">IF(ISERROR($V109),"",OFFSET('Smelter Look-up'!$C$4,$V109-4,0)&amp;"")</f>
        <v>Ganzhou Seadragon W &amp; Mo Co., Ltd.</v>
      </c>
      <c r="S109" s="222" t="str">
        <f t="shared" ca="1" si="15"/>
        <v>CN</v>
      </c>
      <c r="T109" s="222" t="str">
        <f ca="1">IF(B109="","",IF(ISERROR(MATCH($J109,SorP!$B$1:$B$6230,0)),"",INDIRECT("'SorP'!$A$"&amp;MATCH($J109,SorP!$B$1:$B$6230,0))))</f>
        <v>CN-JX</v>
      </c>
      <c r="U109" s="238"/>
      <c r="V109" s="270">
        <f>IF(C109="",NA(),MATCH($B109&amp;$C109,'Smelter Look-up'!$J:$J,0))</f>
        <v>558</v>
      </c>
      <c r="W109" s="271"/>
      <c r="X109" s="271">
        <f t="shared" ca="1" si="16"/>
        <v>0</v>
      </c>
      <c r="Y109" s="271"/>
      <c r="Z109" s="271"/>
      <c r="AB109" s="273" t="str">
        <f t="shared" si="17"/>
        <v>TungstenGanzhou Seadragon W &amp; Mo Co., Ltd.</v>
      </c>
    </row>
    <row r="110" spans="1:28" s="272" customFormat="1" ht="27" customHeight="1">
      <c r="A110" s="214"/>
      <c r="B110" s="215" t="s">
        <v>1133</v>
      </c>
      <c r="C110" s="219" t="s">
        <v>151</v>
      </c>
      <c r="D110" s="278"/>
      <c r="E110" s="215" t="str">
        <f ca="1">IF(ISERROR($V110),"",OFFSET('Smelter Look-up'!$D$4,$V110-4,0)&amp;"")</f>
        <v>CHINA</v>
      </c>
      <c r="F110" s="215" t="str">
        <f ca="1">IF(ISERROR($V110),"",OFFSET('Smelter Look-up'!$E$4,$V110-4,0))</f>
        <v>CID002315</v>
      </c>
      <c r="G110" s="215" t="str">
        <f ca="1">IF(C110=$X$4,"Enter smelter details",IF(ISERROR($V110),"",OFFSET('Smelter Look-up'!$F$4,$V110-4,0)))</f>
        <v>RMI</v>
      </c>
      <c r="H110" s="216">
        <f ca="1">IF(ISERROR($V110),"",OFFSET('Smelter Look-up'!$G$4,$V110-4,0))</f>
        <v>0</v>
      </c>
      <c r="I110" s="217" t="str">
        <f ca="1">IF(ISERROR($V110),"",OFFSET('Smelter Look-up'!$H$4,$V110-4,0))</f>
        <v>Ganzhou</v>
      </c>
      <c r="J110" s="217" t="str">
        <f ca="1">IF(ISERROR($V110),"",OFFSET('Smelter Look-up'!$I$4,$V110-4,0))</f>
        <v>Jiangxi Sheng</v>
      </c>
      <c r="K110" s="268"/>
      <c r="L110" s="268"/>
      <c r="M110" s="268"/>
      <c r="N110" s="268"/>
      <c r="O110" s="268"/>
      <c r="P110" s="218"/>
      <c r="Q110" s="269" t="s">
        <v>15639</v>
      </c>
      <c r="R110" s="215" t="str">
        <f ca="1">IF(ISERROR($V110),"",OFFSET('Smelter Look-up'!$C$4,$V110-4,0)&amp;"")</f>
        <v>Ganzhou Jiangwu Ferrotungsten Co., Ltd.</v>
      </c>
      <c r="S110" s="222" t="str">
        <f t="shared" ca="1" si="15"/>
        <v>CN</v>
      </c>
      <c r="T110" s="222" t="str">
        <f ca="1">IF(B110="","",IF(ISERROR(MATCH($J110,SorP!$B$1:$B$6230,0)),"",INDIRECT("'SorP'!$A$"&amp;MATCH($J110,SorP!$B$1:$B$6230,0))))</f>
        <v>CN-JX</v>
      </c>
      <c r="U110" s="238"/>
      <c r="V110" s="270">
        <f>IF(C110="",NA(),MATCH($B110&amp;$C110,'Smelter Look-up'!$J:$J,0))</f>
        <v>557</v>
      </c>
      <c r="W110" s="271"/>
      <c r="X110" s="271">
        <f t="shared" ca="1" si="16"/>
        <v>0</v>
      </c>
      <c r="Y110" s="271"/>
      <c r="Z110" s="271"/>
      <c r="AB110" s="273" t="str">
        <f t="shared" si="17"/>
        <v>TungstenGanzhou Jiangwu Ferrotungsten Co., Ltd.</v>
      </c>
    </row>
    <row r="111" spans="1:28" s="272" customFormat="1" ht="27" customHeight="1">
      <c r="A111" s="214"/>
      <c r="B111" s="215" t="s">
        <v>1133</v>
      </c>
      <c r="C111" s="219" t="s">
        <v>392</v>
      </c>
      <c r="D111" s="278"/>
      <c r="E111" s="215" t="str">
        <f ca="1">IF(ISERROR($V111),"",OFFSET('Smelter Look-up'!$D$4,$V111-4,0)&amp;"")</f>
        <v>CHINA</v>
      </c>
      <c r="F111" s="215" t="str">
        <f ca="1">IF(ISERROR($V111),"",OFFSET('Smelter Look-up'!$E$4,$V111-4,0))</f>
        <v>CID002494</v>
      </c>
      <c r="G111" s="215" t="str">
        <f ca="1">IF(C111=$X$4,"Enter smelter details",IF(ISERROR($V111),"",OFFSET('Smelter Look-up'!$F$4,$V111-4,0)))</f>
        <v>RMI</v>
      </c>
      <c r="H111" s="216">
        <f ca="1">IF(ISERROR($V111),"",OFFSET('Smelter Look-up'!$G$4,$V111-4,0))</f>
        <v>0</v>
      </c>
      <c r="I111" s="217" t="str">
        <f ca="1">IF(ISERROR($V111),"",OFFSET('Smelter Look-up'!$H$4,$V111-4,0))</f>
        <v>Ganzhou</v>
      </c>
      <c r="J111" s="217" t="str">
        <f ca="1">IF(ISERROR($V111),"",OFFSET('Smelter Look-up'!$I$4,$V111-4,0))</f>
        <v>Jiangxi Sheng</v>
      </c>
      <c r="K111" s="268"/>
      <c r="L111" s="268"/>
      <c r="M111" s="268"/>
      <c r="N111" s="268"/>
      <c r="O111" s="268"/>
      <c r="P111" s="218"/>
      <c r="Q111" s="269" t="s">
        <v>15639</v>
      </c>
      <c r="R111" s="215" t="str">
        <f ca="1">IF(ISERROR($V111),"",OFFSET('Smelter Look-up'!$C$4,$V111-4,0)&amp;"")</f>
        <v>Ganzhou Seadragon W &amp; Mo Co., Ltd.</v>
      </c>
      <c r="S111" s="222" t="str">
        <f t="shared" ca="1" si="15"/>
        <v>CN</v>
      </c>
      <c r="T111" s="222" t="str">
        <f ca="1">IF(B111="","",IF(ISERROR(MATCH($J111,SorP!$B$1:$B$6230,0)),"",INDIRECT("'SorP'!$A$"&amp;MATCH($J111,SorP!$B$1:$B$6230,0))))</f>
        <v>CN-JX</v>
      </c>
      <c r="U111" s="238"/>
      <c r="V111" s="270">
        <f>IF(C111="",NA(),MATCH($B111&amp;$C111,'Smelter Look-up'!$J:$J,0))</f>
        <v>558</v>
      </c>
      <c r="W111" s="271"/>
      <c r="X111" s="271">
        <f t="shared" ca="1" si="16"/>
        <v>0</v>
      </c>
      <c r="Y111" s="271"/>
      <c r="Z111" s="271"/>
      <c r="AB111" s="273" t="str">
        <f t="shared" si="17"/>
        <v>TungstenGanzhou Seadragon W &amp; Mo Co., Ltd.</v>
      </c>
    </row>
    <row r="112" spans="1:28" s="272" customFormat="1" ht="27" customHeight="1">
      <c r="A112" s="214"/>
      <c r="B112" s="215" t="s">
        <v>1133</v>
      </c>
      <c r="C112" s="219" t="s">
        <v>2573</v>
      </c>
      <c r="D112" s="278"/>
      <c r="E112" s="215" t="str">
        <f ca="1">IF(ISERROR($V112),"",OFFSET('Smelter Look-up'!$D$4,$V112-4,0)&amp;"")</f>
        <v>RUSSIAN FEDERATION</v>
      </c>
      <c r="F112" s="215" t="str">
        <f ca="1">IF(ISERROR($V112),"",OFFSET('Smelter Look-up'!$E$4,$V112-4,0))</f>
        <v>CID002845</v>
      </c>
      <c r="G112" s="215" t="str">
        <f ca="1">IF(C112=$X$4,"Enter smelter details",IF(ISERROR($V112),"",OFFSET('Smelter Look-up'!$F$4,$V112-4,0)))</f>
        <v>RMI</v>
      </c>
      <c r="H112" s="216">
        <f ca="1">IF(ISERROR($V112),"",OFFSET('Smelter Look-up'!$G$4,$V112-4,0))</f>
        <v>0</v>
      </c>
      <c r="I112" s="217" t="str">
        <f ca="1">IF(ISERROR($V112),"",OFFSET('Smelter Look-up'!$H$4,$V112-4,0))</f>
        <v>Roshal</v>
      </c>
      <c r="J112" s="217" t="str">
        <f ca="1">IF(ISERROR($V112),"",OFFSET('Smelter Look-up'!$I$4,$V112-4,0))</f>
        <v>Moskovskaja oblast'</v>
      </c>
      <c r="K112" s="268"/>
      <c r="L112" s="268"/>
      <c r="M112" s="268"/>
      <c r="N112" s="268"/>
      <c r="O112" s="268"/>
      <c r="P112" s="218"/>
      <c r="Q112" s="269" t="s">
        <v>15639</v>
      </c>
      <c r="R112" s="215" t="str">
        <f ca="1">IF(ISERROR($V112),"",OFFSET('Smelter Look-up'!$C$4,$V112-4,0)&amp;"")</f>
        <v>Moliren Ltd.</v>
      </c>
      <c r="S112" s="222" t="str">
        <f t="shared" ca="1" si="15"/>
        <v>RU</v>
      </c>
      <c r="T112" s="222" t="str">
        <f ca="1">IF(B112="","",IF(ISERROR(MATCH($J112,SorP!$B$1:$B$6230,0)),"",INDIRECT("'SorP'!$A$"&amp;MATCH($J112,SorP!$B$1:$B$6230,0))))</f>
        <v>RU-MOS</v>
      </c>
      <c r="U112" s="238"/>
      <c r="V112" s="270">
        <f>IF(C112="",NA(),MATCH($B112&amp;$C112,'Smelter Look-up'!$J:$J,0))</f>
        <v>589</v>
      </c>
      <c r="W112" s="271"/>
      <c r="X112" s="271">
        <f t="shared" ca="1" si="16"/>
        <v>0</v>
      </c>
      <c r="Y112" s="271"/>
      <c r="Z112" s="271"/>
      <c r="AB112" s="273" t="str">
        <f t="shared" si="17"/>
        <v>TungstenMoliren Ltd.</v>
      </c>
    </row>
    <row r="113" spans="1:28" s="272" customFormat="1" ht="27" customHeight="1">
      <c r="A113" s="214"/>
      <c r="B113" s="215" t="s">
        <v>1133</v>
      </c>
      <c r="C113" s="219" t="s">
        <v>14096</v>
      </c>
      <c r="D113" s="278"/>
      <c r="E113" s="215" t="str">
        <f ca="1">IF(ISERROR($V113),"",OFFSET('Smelter Look-up'!$D$4,$V113-4,0)&amp;"")</f>
        <v>VIET NAM</v>
      </c>
      <c r="F113" s="215" t="str">
        <f ca="1">IF(ISERROR($V113),"",OFFSET('Smelter Look-up'!$E$4,$V113-4,0))</f>
        <v>CID002502</v>
      </c>
      <c r="G113" s="215" t="str">
        <f ca="1">IF(C113=$X$4,"Enter smelter details",IF(ISERROR($V113),"",OFFSET('Smelter Look-up'!$F$4,$V113-4,0)))</f>
        <v>RMI</v>
      </c>
      <c r="H113" s="216">
        <f ca="1">IF(ISERROR($V113),"",OFFSET('Smelter Look-up'!$G$4,$V113-4,0))</f>
        <v>0</v>
      </c>
      <c r="I113" s="217" t="str">
        <f ca="1">IF(ISERROR($V113),"",OFFSET('Smelter Look-up'!$H$4,$V113-4,0))</f>
        <v>Vinh Bao District</v>
      </c>
      <c r="J113" s="217" t="str">
        <f ca="1">IF(ISERROR($V113),"",OFFSET('Smelter Look-up'!$I$4,$V113-4,0))</f>
        <v>Hai Phong</v>
      </c>
      <c r="K113" s="268"/>
      <c r="L113" s="268"/>
      <c r="M113" s="268"/>
      <c r="N113" s="268"/>
      <c r="O113" s="268"/>
      <c r="P113" s="218"/>
      <c r="Q113" s="269" t="s">
        <v>15639</v>
      </c>
      <c r="R113" s="215" t="str">
        <f ca="1">IF(ISERROR($V113),"",OFFSET('Smelter Look-up'!$C$4,$V113-4,0)&amp;"")</f>
        <v>Asia Tungsten Products Vietnam Ltd.</v>
      </c>
      <c r="S113" s="222" t="str">
        <f t="shared" ca="1" si="15"/>
        <v>VN</v>
      </c>
      <c r="T113" s="222" t="str">
        <f ca="1">IF(B113="","",IF(ISERROR(MATCH($J113,SorP!$B$1:$B$6230,0)),"",INDIRECT("'SorP'!$A$"&amp;MATCH($J113,SorP!$B$1:$B$6230,0))))</f>
        <v>VN-HP</v>
      </c>
      <c r="U113" s="238"/>
      <c r="V113" s="270">
        <f>IF(C113="",NA(),MATCH($B113&amp;$C113,'Smelter Look-up'!$J:$J,0))</f>
        <v>541</v>
      </c>
      <c r="W113" s="271"/>
      <c r="X113" s="271">
        <f t="shared" ca="1" si="16"/>
        <v>0</v>
      </c>
      <c r="Y113" s="271"/>
      <c r="Z113" s="271"/>
      <c r="AB113" s="273" t="str">
        <f t="shared" si="17"/>
        <v>TungstenAsia Tungsten Products Vietnam Ltd.</v>
      </c>
    </row>
    <row r="114" spans="1:28" s="272" customFormat="1" ht="20.25">
      <c r="A114" s="214"/>
      <c r="B114" s="215"/>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9D0CE20-374D-4B6E-8052-41BCD59D3EDF}"/>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5:B19 B21:B585">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5:C19 C21:C585">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2" t="str">
        <f ca="1">OFFSET(L!$C$1,MATCH("Checker"&amp;ADDRESS(ROW(),COLUMN(),4),L!$A:$A,0)-1,SL,,)</f>
        <v>To ensure all required fields have been populated before submitting to your customers review form for any line items highlighted in red</v>
      </c>
      <c r="B1" s="452"/>
      <c r="C1" s="452"/>
      <c r="D1" s="146" t="str">
        <f ca="1">OFFSET(L!$C$1,MATCH("Checker"&amp;ADDRESS(ROW(),COLUMN(),4),L!$A:$A,0)-1,SL,,)</f>
        <v>Required fields remaining to be completed</v>
      </c>
      <c r="E1" s="84" t="s">
        <v>806</v>
      </c>
    </row>
    <row r="2" spans="1:10" ht="15">
      <c r="A2" s="77" t="s">
        <v>898</v>
      </c>
      <c r="B2" s="78" t="str">
        <f>IF(F65=1,"Click here to return to Smelter List","")</f>
        <v>Click here to return to Smelter List</v>
      </c>
      <c r="C2" s="150" t="str">
        <f>IF(F65=1,"Click here to return to Product List","")</f>
        <v>Click here to return to Product List</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Ludwig KROHNE GmbH &amp; Co.</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t="str">
        <f>Declaration!D10</f>
        <v>KROHNE measuring instruments (flow, level, pressure, temperature, analytics)</v>
      </c>
      <c r="C6" s="102" t="str">
        <f ca="1">IF(H6=1,J6,I6)</f>
        <v>Complete</v>
      </c>
      <c r="D6" s="108" t="str">
        <f>IF(H6=1,"Click here to provide a Description of Scope","")</f>
        <v/>
      </c>
      <c r="E6" s="84" t="s">
        <v>1307</v>
      </c>
      <c r="F6" s="107">
        <f>IF(OR(B5=Declaration!P9,B5=Declaration!Q9,B5=0),0,1)</f>
        <v>0</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RONJAT Christophe</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c.ronjat@krohne.com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+33475054461</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RONJAT Christophe</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c.ronjat@krohne.com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44526</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Tantalum  (*)</v>
      </c>
      <c r="B24" s="102" t="str">
        <f>IF(AND($B$14="Yes",$B$19="Yes"),Declaration!D38,0)</f>
        <v>No</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Unknown</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Unknown</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Unknown</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Tantalum  (*)</v>
      </c>
      <c r="B29" s="102" t="str">
        <f>IF(AND($B$14="Yes",$B$19="Yes"),Declaration!D44,0)</f>
        <v>No</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Unknown</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Unknown</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Unknown</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Tantalum  (*)</v>
      </c>
      <c r="B34" s="102" t="str">
        <f>IF(AND($B$14="Yes",$B$19="Yes"),Declaration!D50,0)</f>
        <v>No</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Tantalum  (*)</v>
      </c>
      <c r="B39" s="341">
        <f>IF(AND($B$14="Yes",$B$19="Yes"),Declaration!D56,0)</f>
        <v>1</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t="str">
        <f>IF(AND($B$15="Yes",$B$20="Yes"),Declaration!D57,0)</f>
        <v>Greater than 90%</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1" t="str">
        <f>IF(AND($B$16="Yes",$B$21="Yes"),Declaration!D58,0)</f>
        <v>Greater than 90%</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341" t="str">
        <f>IF(AND($B$17="Yes",$B$22="Yes"),Declaration!D59,0)</f>
        <v>Greater than 90%</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Tantalum  (*)</v>
      </c>
      <c r="B44" s="102" t="str">
        <f>IF(AND($B$14="Yes",$B$19="Yes"),Declaration!D62,0)</f>
        <v>Yes</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No</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https://krohne.com/en/company/quality-sustainability/social-and-ethical/</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No</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using other format (describe)</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1</v>
      </c>
      <c r="G65" s="81">
        <f>IF(AND(COUNTIF(SmelterIdetifiedForMetal,"Tantalum")&gt;0,COUNTIF('Smelter List'!AB$5:AB$2504,"Tantalum?*")&gt;0),0,1)</f>
        <v>0</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List'!AB$5:AB$2504,"Tin?*")&gt;0),0,1)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1</v>
      </c>
      <c r="G67" s="81">
        <f>IF(AND(COUNTIF(SmelterIdetifiedForMetal,"Gold")&gt;0,COUNTIF('Smelter List'!AB$5:AB$2504,"Gold?*")&gt;0),0,1)</f>
        <v>0</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1</v>
      </c>
      <c r="G68" s="81">
        <f>IF(AND(COUNTIF(SmelterIdetifiedForMetal,"Tungsten")&gt;0,COUNTIF('Smelter List'!AB$5:AB$2504,"Tungsten?*")&gt;0),0,1)</f>
        <v>0</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4" t="str">
        <f ca="1">OFFSET(L!$C$1,MATCH("Product List"&amp;ADDRESS(ROW(),COLUMN(),4),L!$A:$A,0)-1,SL,,)</f>
        <v>Completion required only if reporting level "Product (or List of Products)" selected on the 'Declaration' worksheet.</v>
      </c>
      <c r="B1" s="455"/>
      <c r="C1" s="455"/>
      <c r="D1" s="455"/>
      <c r="E1" s="145"/>
    </row>
    <row r="2" spans="1:6">
      <c r="A2" s="29"/>
      <c r="B2" s="147"/>
      <c r="C2" s="147"/>
      <c r="D2"/>
      <c r="E2" s="30"/>
    </row>
    <row r="3" spans="1:6">
      <c r="A3" s="29"/>
      <c r="B3" s="147"/>
      <c r="C3" s="147"/>
      <c r="D3" s="147"/>
      <c r="E3" s="30"/>
    </row>
    <row r="4" spans="1:6" ht="15.75" customHeight="1">
      <c r="A4" s="29"/>
      <c r="B4" s="453" t="s">
        <v>898</v>
      </c>
      <c r="C4" s="453"/>
      <c r="D4" s="453"/>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6" t="str">
        <f ca="1">OFFSET(L!$C$1,MATCH("General"&amp;"Cpy",L!$A:$A,0)-1,SL,,)</f>
        <v>© 2021 Responsible Minerals Initiative. All rights reserved.</v>
      </c>
      <c r="C1001" s="456"/>
      <c r="D1001" s="456"/>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7"/>
      <c r="C1" s="457"/>
      <c r="D1" s="457"/>
      <c r="E1" s="457"/>
      <c r="F1" s="457"/>
      <c r="G1" s="457"/>
    </row>
    <row r="2" spans="1:16">
      <c r="A2" s="458"/>
      <c r="B2" s="458"/>
      <c r="C2" s="458"/>
      <c r="D2" s="458"/>
      <c r="E2" s="458"/>
      <c r="F2" s="458"/>
      <c r="G2" s="458"/>
      <c r="H2" s="458"/>
      <c r="I2" s="458"/>
    </row>
    <row r="3" spans="1:16">
      <c r="A3" s="458"/>
      <c r="B3" s="458"/>
      <c r="C3" s="458"/>
      <c r="D3" s="458"/>
      <c r="E3" s="458"/>
      <c r="F3" s="458"/>
      <c r="G3" s="458"/>
      <c r="H3" s="458"/>
      <c r="I3" s="458"/>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8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56.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85.25">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42.25">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13.7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45">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42.75">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57">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Ronjat, Christophe</cp:lastModifiedBy>
  <cp:lastPrinted>2015-04-21T20:47:43Z</cp:lastPrinted>
  <dcterms:created xsi:type="dcterms:W3CDTF">2010-06-21T21:00:23Z</dcterms:created>
  <dcterms:modified xsi:type="dcterms:W3CDTF">2021-11-26T15:18:16Z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